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Min gæld" sheetId="2" state="visible" r:id="rId4"/>
    <sheet name="Pla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<sst xmlns="http://schemas.openxmlformats.org/spreadsheetml/2006/main" count="76" uniqueCount="45">
  <si>
    <t xml:space="preserve">Gældsafvikling</t>
  </si>
  <si>
    <t xml:space="preserve">Bliv gældfri hurtigere med snebold- eller lavinemetoden.</t>
  </si>
  <si>
    <t xml:space="preserve">SÅDAN BRUGER DU DEN</t>
  </si>
  <si>
    <t xml:space="preserve">1.  Din gæld   Skriv alle lån og kreditter på fanen Min gæld: restgæld, årlig rente og mindste månedlige ydelse.</t>
  </si>
  <si>
    <t xml:space="preserve">2.  Rækkefølge   Skriv gælden i den rækkefølge, du vil betale den ud. Sneboldmetoden: mindste gæld først. Lavinemetoden: højeste rente først.</t>
  </si>
  <si>
    <t xml:space="preserve">3.  Ekstra afdrag   Skriv hvor meget ekstra du kan betale hver måned. Det går altid til den første gæld på listen, der ikke er betalt ud.</t>
  </si>
  <si>
    <t xml:space="preserve">4.  Se planen   Min gæld viser hvornår hver gæld er væk, og hvad du betaler i renter. Fanen Plan viser hver måned.</t>
  </si>
  <si>
    <t xml:space="preserve">TIPS</t>
  </si>
  <si>
    <t xml:space="preserve">•  Når en gæld er betalt ud, ruller dens ydelse videre til den næste. Derfor bliver 'sneboldden' større og større.</t>
  </si>
  <si>
    <t xml:space="preserve">•  Står der en advarsel, dækker ydelsen ikke engang renterne. Så vokser gælden, og du bør hæve ydelsen.</t>
  </si>
  <si>
    <t xml:space="preserve">•  Beregningen er et overslag. Din bank kan have gebyrer eller anden rentetilskrivning.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</si>
  <si>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</si>
  <si>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</si>
  <si>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</si>
  <si>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Min gæld</t>
  </si>
  <si>
    <t xml:space="preserve">Udfyld de gule felter. Rækkefølgen bestemmer, hvilken gæld der betales ud først.</t>
  </si>
  <si>
    <t xml:space="preserve">Nr.</t>
  </si>
  <si>
    <t xml:space="preserve">Gæld</t>
  </si>
  <si>
    <t xml:space="preserve">Restgæld</t>
  </si>
  <si>
    <t xml:space="preserve">Årlig rente</t>
  </si>
  <si>
    <t xml:space="preserve">Mindste ydelse / md.</t>
  </si>
  <si>
    <t xml:space="preserve">Gældfri</t>
  </si>
  <si>
    <t xml:space="preserve">Renter i alt</t>
  </si>
  <si>
    <t xml:space="preserve">Advarsel</t>
  </si>
  <si>
    <t xml:space="preserve">Kreditkort</t>
  </si>
  <si>
    <t xml:space="preserve">Forbrugslån</t>
  </si>
  <si>
    <t xml:space="preserve">Billån</t>
  </si>
  <si>
    <t xml:space="preserve">SU-lån</t>
  </si>
  <si>
    <t xml:space="preserve">INDSTILLINGER</t>
  </si>
  <si>
    <t xml:space="preserve">Ekstra afdrag pr. måned</t>
  </si>
  <si>
    <t xml:space="preserve">Første betalingsmåned</t>
  </si>
  <si>
    <t xml:space="preserve">RESULTAT</t>
  </si>
  <si>
    <t xml:space="preserve">Samlet gæld i dag</t>
  </si>
  <si>
    <t xml:space="preserve">Månedlig betaling i alt</t>
  </si>
  <si>
    <t xml:space="preserve">Antal måneder til gældfri</t>
  </si>
  <si>
    <t xml:space="preserve">Afbetalingsplan</t>
  </si>
  <si>
    <t xml:space="preserve">Beregnes automatisk ud fra Min gæld. Rør ikke denne fane.</t>
  </si>
  <si>
    <t xml:space="preserve">Måned</t>
  </si>
  <si>
    <t xml:space="preserve">Dato</t>
  </si>
  <si>
    <t xml:space="preserve">Ekstra pulje</t>
  </si>
  <si>
    <t xml:space="preserve">Pulje før</t>
  </si>
  <si>
    <t xml:space="preserve">Med renter</t>
  </si>
  <si>
    <t xml:space="preserve">Betaling</t>
  </si>
  <si>
    <t xml:space="preserve">Gæld i alt</t>
  </si>
  <si>
    <t xml:space="preserve">Renter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</si>
</sst>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kr.&quot;;[RED]\-#,##0.00&quot; kr.&quot;;\-"/>
    <numFmt numFmtId="166" formatCode="0.0%"/>
    <numFmt numFmtId="167" formatCode="mmm\ yyyy"/>
    <numFmt numFmtId="168" formatCode="0"/>
    <numFmt numFmtId="169" formatCode="mmmm\ yyyy"/>
    <numFmt numFmtId="170" formatCode="#,##0"/>
    <numFmt numFmtId="171" formatCode="#,##0.0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C0392B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b val="true"/>
      <sz val="12"/>
      <color rgb="FF2A7F4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2A6F55"/>
      <name val="Arial"/>
      <family val="0"/>
      <charset val="1"/>
    </font>
    <font>
      <sz val="9"/>
      <color rgb="FF44444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5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2A7F4F"/>
      <rgbColor rgb="FF003300"/>
      <rgbColor rgb="FF444444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Samlet gæld over tid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Plan!AJ5</c:f>
              <c:strCache>
                <c:ptCount val="1"/>
                <c:pt idx="0">
                  <c:v>Gæld i alt</c:v>
                </c:pt>
              </c:strCache>
            </c:strRef>
          </c:tx>
          <c:spPr>
            <a:solidFill>
              <a:srgbClr val="2a6f55"/>
            </a:solidFill>
            <a:ln w="28080">
              <a:solidFill>
                <a:srgbClr val="2a6f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Plan!$A$6:$A$125</c:f>
              <c:strCache>
                <c:ptCount val="1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</c:strCache>
            </c:strRef>
          </c:cat>
          <c:val>
            <c:numRef>
              <c:f>Plan!$AJ$6:$AJ$125</c:f>
              <c:numCache>
                <c:formatCode>#,##0</c:formatCode>
                <c:ptCount val="120"/>
                <c:pt idx="0">
                  <c:v>184734.166666667</c:v>
                </c:pt>
                <c:pt idx="1">
                  <c:v>180932.349722222</c:v>
                </c:pt>
                <c:pt idx="2">
                  <c:v>177094.054201123</c:v>
                </c:pt>
                <c:pt idx="3">
                  <c:v>173218.776973681</c:v>
                </c:pt>
                <c:pt idx="4">
                  <c:v>169306.006601995</c:v>
                </c:pt>
                <c:pt idx="5">
                  <c:v>165355.223193277</c:v>
                </c:pt>
                <c:pt idx="6">
                  <c:v>161365.898250528</c:v>
                </c:pt>
                <c:pt idx="7">
                  <c:v>157344.583894105</c:v>
                </c:pt>
                <c:pt idx="8">
                  <c:v>153297.949712027</c:v>
                </c:pt>
                <c:pt idx="9">
                  <c:v>149225.819677142</c:v>
                </c:pt>
                <c:pt idx="10">
                  <c:v>145128.016450203</c:v>
                </c:pt>
                <c:pt idx="11">
                  <c:v>141004.361369652</c:v>
                </c:pt>
                <c:pt idx="12">
                  <c:v>136854.674441324</c:v>
                </c:pt>
                <c:pt idx="13">
                  <c:v>132678.774328057</c:v>
                </c:pt>
                <c:pt idx="14">
                  <c:v>128476.478339238</c:v>
                </c:pt>
                <c:pt idx="15">
                  <c:v>124247.602420247</c:v>
                </c:pt>
                <c:pt idx="16">
                  <c:v>119991.961141829</c:v>
                </c:pt>
                <c:pt idx="17">
                  <c:v>115709.367689376</c:v>
                </c:pt>
                <c:pt idx="18">
                  <c:v>111399.633852123</c:v>
                </c:pt>
                <c:pt idx="19">
                  <c:v>107062.570012258</c:v>
                </c:pt>
                <c:pt idx="20">
                  <c:v>102697.985133951</c:v>
                </c:pt>
                <c:pt idx="21">
                  <c:v>98307.2561087188</c:v>
                </c:pt>
                <c:pt idx="22">
                  <c:v>93897.0731483749</c:v>
                </c:pt>
                <c:pt idx="23">
                  <c:v>89467.3493231821</c:v>
                </c:pt>
                <c:pt idx="24">
                  <c:v>85017.9973124224</c:v>
                </c:pt>
                <c:pt idx="25">
                  <c:v>80548.9294026295</c:v>
                </c:pt>
                <c:pt idx="26">
                  <c:v>76060.0574858139</c:v>
                </c:pt>
                <c:pt idx="27">
                  <c:v>71551.29305768</c:v>
                </c:pt>
                <c:pt idx="28">
                  <c:v>67022.547215834</c:v>
                </c:pt>
                <c:pt idx="29">
                  <c:v>62473.7306579849</c:v>
                </c:pt>
                <c:pt idx="30">
                  <c:v>57904.7536801371</c:v>
                </c:pt>
                <c:pt idx="31">
                  <c:v>53315.5261747741</c:v>
                </c:pt>
                <c:pt idx="32">
                  <c:v>48705.9576290346</c:v>
                </c:pt>
                <c:pt idx="33">
                  <c:v>44075.9571228803</c:v>
                </c:pt>
                <c:pt idx="34">
                  <c:v>39425.4333272552</c:v>
                </c:pt>
                <c:pt idx="35">
                  <c:v>34756.8514383461</c:v>
                </c:pt>
                <c:pt idx="36">
                  <c:v>30072.7076098072</c:v>
                </c:pt>
                <c:pt idx="37">
                  <c:v>25372.9499685066</c:v>
                </c:pt>
                <c:pt idx="38">
                  <c:v>20657.5264684016</c:v>
                </c:pt>
                <c:pt idx="39">
                  <c:v>15926.3848899629</c:v>
                </c:pt>
                <c:pt idx="40">
                  <c:v>11179.4728395961</c:v>
                </c:pt>
                <c:pt idx="41">
                  <c:v>6416.73774906147</c:v>
                </c:pt>
                <c:pt idx="42">
                  <c:v>1638.12687489167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3708094"/>
        <c:axId val="92541295"/>
      </c:lineChart>
      <c:catAx>
        <c:axId val="3370809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Måneder (de første 10 år)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541295"/>
        <c:crosses val="autoZero"/>
        <c:auto val="1"/>
        <c:lblAlgn val="ctr"/>
        <c:lblOffset val="100"/>
        <c:noMultiLvlLbl val="0"/>
      </c:catAx>
      <c:valAx>
        <c:axId val="92541295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7080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12</xdr:row>
      <xdr:rowOff>78120</xdr:rowOff>
    </xdr:from>
    <xdr:to>
      <xdr:col>9</xdr:col>
      <xdr:colOff>229680</xdr:colOff>
      <xdr:row>27</xdr:row>
      <xdr:rowOff>100080</xdr:rowOff>
    </xdr:to>
    <xdr:graphicFrame>
      <xdr:nvGraphicFramePr>
        <xdr:cNvPr id="0" name="Chart 1"/>
        <xdr:cNvGraphicFramePr/>
      </xdr:nvGraphicFramePr>
      <xdr:xfrm>
        <a:off x="4229280" y="26859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30" hidden="false" customHeight="tru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5" t="s">
        <v>12</v>
      </c>
    </row>
    <row r="19" customFormat="false" ht="15" hidden="false" customHeight="false" outlineLevel="0" collapsed="false">
      <c r="B19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H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6" min="5" style="0" width="16"/>
    <col collapsed="false" customWidth="true" hidden="false" outlineLevel="0" max="7" min="7" style="0" width="18"/>
    <col collapsed="false" customWidth="true" hidden="false" outlineLevel="0" max="8" min="8" style="0" width="30"/>
  </cols>
  <sheetData>
    <row r="1" customFormat="false" ht="31.5" hidden="false" customHeight="true" outlineLevel="0" collapsed="false">
      <c r="A1" s="7" t="s">
        <v>14</v>
      </c>
    </row>
    <row r="2" customFormat="false" ht="15" hidden="false" customHeight="false" outlineLevel="0" collapsed="false">
      <c r="A2" s="8" t="s">
        <v>15</v>
      </c>
    </row>
    <row r="4" customFormat="false" ht="23.85" hidden="false" customHeight="false" outlineLevel="0" collapsed="false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</row>
    <row r="5" customFormat="false" ht="15" hidden="false" customHeight="false" outlineLevel="0" collapsed="false">
      <c r="A5" s="11" t="n">
        <v>1</v>
      </c>
      <c r="B5" s="12" t="s">
        <v>24</v>
      </c>
      <c r="C5" s="13" t="n">
        <v>8500</v>
      </c>
      <c r="D5" s="14" t="n">
        <v>0.22</v>
      </c>
      <c r="E5" s="13" t="n">
        <v>400</v>
      </c>
      <c r="F5" s="15" t="n">
        <f aca="false">IF(N(C5)&lt;=0,"",IF(COUNTIF(Plan!$G$6:$G$245,"&gt;0.005")&gt;=240,"Over 20 år",EDATE($C$16,COUNTIF(Plan!$G$6:$G$245,"&gt;0.005"))))</f>
        <v>46569</v>
      </c>
      <c r="G5" s="16" t="n">
        <f aca="false">IF(N(C5)&lt;=0,"",SUM(Plan!E6:E245)-C5-SUM(Plan!G6:G244)+0)</f>
        <v>596.921627476462</v>
      </c>
      <c r="H5" s="17" t="str">
        <f aca="false">IF(AND(N(C5)&gt;0,N(E5)&lt;=C5*D5/12),"Ydelsen dækker ikke renterne","")</f>
        <v/>
      </c>
    </row>
    <row r="6" customFormat="false" ht="15" hidden="false" customHeight="false" outlineLevel="0" collapsed="false">
      <c r="A6" s="11" t="n">
        <v>2</v>
      </c>
      <c r="B6" s="12" t="s">
        <v>25</v>
      </c>
      <c r="C6" s="13" t="n">
        <v>35000</v>
      </c>
      <c r="D6" s="14" t="n">
        <v>0.099</v>
      </c>
      <c r="E6" s="13" t="n">
        <v>900</v>
      </c>
      <c r="F6" s="15" t="n">
        <f aca="false">IF(N(C6)&lt;=0,"",IF(COUNTIF(Plan!$K$6:$K$245,"&gt;0.005")&gt;=240,"Over 20 år",EDATE($C$16,COUNTIF(Plan!$K$6:$K$245,"&gt;0.005"))))</f>
        <v>46997</v>
      </c>
      <c r="G6" s="16" t="n">
        <f aca="false">IF(N(C6)&lt;=0,"",SUM(Plan!I6:I245)-C6-SUM(Plan!K6:K244)+0)</f>
        <v>3775.07207165245</v>
      </c>
      <c r="H6" s="17" t="str">
        <f aca="false">IF(AND(N(C6)&gt;0,N(E6)&lt;=C6*D6/12),"Ydelsen dækker ikke renterne","")</f>
        <v/>
      </c>
    </row>
    <row r="7" customFormat="false" ht="15" hidden="false" customHeight="false" outlineLevel="0" collapsed="false">
      <c r="A7" s="11" t="n">
        <v>3</v>
      </c>
      <c r="B7" s="12" t="s">
        <v>26</v>
      </c>
      <c r="C7" s="13" t="n">
        <v>85000</v>
      </c>
      <c r="D7" s="14" t="n">
        <v>0.055</v>
      </c>
      <c r="E7" s="13" t="n">
        <v>1800</v>
      </c>
      <c r="F7" s="15" t="n">
        <f aca="false">IF(N(C7)&lt;=0,"",IF(COUNTIF(Plan!$O$6:$O$245,"&gt;0.005")&gt;=240,"Over 20 år",EDATE($C$16,COUNTIF(Plan!$O$6:$O$245,"&gt;0.005"))))</f>
        <v>47423</v>
      </c>
      <c r="G7" s="16" t="n">
        <f aca="false">IF(N(C7)&lt;=0,"",SUM(Plan!M6:M245)-C7-SUM(Plan!O6:O244)+0)</f>
        <v>8582.45741319587</v>
      </c>
      <c r="H7" s="17" t="str">
        <f aca="false">IF(AND(N(C7)&gt;0,N(E7)&lt;=C7*D7/12),"Ydelsen dækker ikke renterne","")</f>
        <v/>
      </c>
    </row>
    <row r="8" customFormat="false" ht="15" hidden="false" customHeight="false" outlineLevel="0" collapsed="false">
      <c r="A8" s="11" t="n">
        <v>4</v>
      </c>
      <c r="B8" s="12" t="s">
        <v>27</v>
      </c>
      <c r="C8" s="13" t="n">
        <v>60000</v>
      </c>
      <c r="D8" s="14" t="n">
        <v>0.04</v>
      </c>
      <c r="E8" s="13" t="n">
        <v>700</v>
      </c>
      <c r="F8" s="15" t="n">
        <f aca="false">IF(N(C8)&lt;=0,"",IF(COUNTIF(Plan!$S$6:$S$245,"&gt;0.005")&gt;=240,"Over 20 år",EDATE($C$16,COUNTIF(Plan!$S$6:$S$245,"&gt;0.005"))))</f>
        <v>47696</v>
      </c>
      <c r="G8" s="16" t="n">
        <f aca="false">IF(N(C8)&lt;=0,"",SUM(Plan!Q6:Q245)-C8-SUM(Plan!S6:S244)+0)</f>
        <v>6589.13618548331</v>
      </c>
      <c r="H8" s="17" t="str">
        <f aca="false">IF(AND(N(C8)&gt;0,N(E8)&lt;=C8*D8/12),"Ydelsen dækker ikke renterne","")</f>
        <v/>
      </c>
    </row>
    <row r="9" customFormat="false" ht="15" hidden="false" customHeight="false" outlineLevel="0" collapsed="false">
      <c r="A9" s="11" t="n">
        <v>5</v>
      </c>
      <c r="B9" s="12"/>
      <c r="C9" s="13"/>
      <c r="D9" s="14"/>
      <c r="E9" s="13"/>
      <c r="F9" s="15" t="str">
        <f aca="false">IF(N(C9)&lt;=0,"",IF(COUNTIF(Plan!$W$6:$W$245,"&gt;0.005")&gt;=240,"Over 20 år",EDATE($C$16,COUNTIF(Plan!$W$6:$W$245,"&gt;0.005"))))</f>
        <v/>
      </c>
      <c r="G9" s="16" t="str">
        <f aca="false">IF(N(C9)&lt;=0,"",SUM(Plan!U6:U245)-C9-SUM(Plan!W6:W244)+0)</f>
        <v/>
      </c>
      <c r="H9" s="17" t="str">
        <f aca="false">IF(AND(N(C9)&gt;0,N(E9)&lt;=C9*D9/12),"Ydelsen dækker ikke renterne","")</f>
        <v/>
      </c>
    </row>
    <row r="10" customFormat="false" ht="15" hidden="false" customHeight="false" outlineLevel="0" collapsed="false">
      <c r="A10" s="11" t="n">
        <v>6</v>
      </c>
      <c r="B10" s="12"/>
      <c r="C10" s="13"/>
      <c r="D10" s="14"/>
      <c r="E10" s="13"/>
      <c r="F10" s="15" t="str">
        <f aca="false">IF(N(C10)&lt;=0,"",IF(COUNTIF(Plan!$AA$6:$AA$245,"&gt;0.005")&gt;=240,"Over 20 år",EDATE($C$16,COUNTIF(Plan!$AA$6:$AA$245,"&gt;0.005"))))</f>
        <v/>
      </c>
      <c r="G10" s="16" t="str">
        <f aca="false">IF(N(C10)&lt;=0,"",SUM(Plan!Y6:Y245)-C10-SUM(Plan!AA6:AA244)+0)</f>
        <v/>
      </c>
      <c r="H10" s="17" t="str">
        <f aca="false">IF(AND(N(C10)&gt;0,N(E10)&lt;=C10*D10/12),"Ydelsen dækker ikke renterne","")</f>
        <v/>
      </c>
    </row>
    <row r="11" customFormat="false" ht="15" hidden="false" customHeight="false" outlineLevel="0" collapsed="false">
      <c r="A11" s="11" t="n">
        <v>7</v>
      </c>
      <c r="B11" s="12"/>
      <c r="C11" s="13"/>
      <c r="D11" s="14"/>
      <c r="E11" s="13"/>
      <c r="F11" s="15" t="str">
        <f aca="false">IF(N(C11)&lt;=0,"",IF(COUNTIF(Plan!$AE$6:$AE$245,"&gt;0.005")&gt;=240,"Over 20 år",EDATE($C$16,COUNTIF(Plan!$AE$6:$AE$245,"&gt;0.005"))))</f>
        <v/>
      </c>
      <c r="G11" s="16" t="str">
        <f aca="false">IF(N(C11)&lt;=0,"",SUM(Plan!AC6:AC245)-C11-SUM(Plan!AE6:AE244)+0)</f>
        <v/>
      </c>
      <c r="H11" s="17" t="str">
        <f aca="false">IF(AND(N(C11)&gt;0,N(E11)&lt;=C11*D11/12),"Ydelsen dækker ikke renterne","")</f>
        <v/>
      </c>
    </row>
    <row r="12" customFormat="false" ht="15" hidden="false" customHeight="false" outlineLevel="0" collapsed="false">
      <c r="A12" s="11" t="n">
        <v>8</v>
      </c>
      <c r="B12" s="12"/>
      <c r="C12" s="13"/>
      <c r="D12" s="14"/>
      <c r="E12" s="13"/>
      <c r="F12" s="15" t="str">
        <f aca="false">IF(N(C12)&lt;=0,"",IF(COUNTIF(Plan!$AI$6:$AI$245,"&gt;0.005")&gt;=240,"Over 20 år",EDATE($C$16,COUNTIF(Plan!$AI$6:$AI$245,"&gt;0.005"))))</f>
        <v/>
      </c>
      <c r="G12" s="16" t="str">
        <f aca="false">IF(N(C12)&lt;=0,"",SUM(Plan!AG6:AG245)-C12-SUM(Plan!AI6:AI244)+0)</f>
        <v/>
      </c>
      <c r="H12" s="17" t="str">
        <f aca="false">IF(AND(N(C12)&gt;0,N(E12)&lt;=C12*D12/12),"Ydelsen dækker ikke renterne","")</f>
        <v/>
      </c>
    </row>
    <row r="14" customFormat="false" ht="15" hidden="false" customHeight="false" outlineLevel="0" collapsed="false">
      <c r="B14" s="3" t="s">
        <v>28</v>
      </c>
    </row>
    <row r="15" customFormat="false" ht="15" hidden="false" customHeight="false" outlineLevel="0" collapsed="false">
      <c r="B15" s="18" t="s">
        <v>29</v>
      </c>
      <c r="C15" s="13" t="n">
        <v>1000</v>
      </c>
    </row>
    <row r="16" customFormat="false" ht="15" hidden="false" customHeight="false" outlineLevel="0" collapsed="false">
      <c r="B16" s="18" t="s">
        <v>30</v>
      </c>
      <c r="C16" s="19" t="n">
        <v>46388</v>
      </c>
    </row>
    <row r="18" customFormat="false" ht="15" hidden="false" customHeight="false" outlineLevel="0" collapsed="false">
      <c r="B18" s="3" t="s">
        <v>31</v>
      </c>
    </row>
    <row r="19" customFormat="false" ht="15" hidden="false" customHeight="false" outlineLevel="0" collapsed="false">
      <c r="B19" s="20" t="s">
        <v>32</v>
      </c>
      <c r="C19" s="21" t="n">
        <f aca="false">SUM(C5:C12)</f>
        <v>188500</v>
      </c>
    </row>
    <row r="20" customFormat="false" ht="15" hidden="false" customHeight="false" outlineLevel="0" collapsed="false">
      <c r="B20" s="20" t="s">
        <v>33</v>
      </c>
      <c r="C20" s="21" t="n">
        <f aca="false">SUM(E5:E12)+C15</f>
        <v>4800</v>
      </c>
    </row>
    <row r="21" customFormat="false" ht="15" hidden="false" customHeight="false" outlineLevel="0" collapsed="false">
      <c r="B21" s="20" t="s">
        <v>34</v>
      </c>
      <c r="C21" s="22" t="n">
        <f aca="false">IF(COUNTIF(Plan!$AJ$6:$AJ$245,"&gt;0.005")&gt;=240,"Over 20 år",COUNTIF(Plan!$AJ$6:$AJ$245,"&gt;0.005")+1)</f>
        <v>44</v>
      </c>
    </row>
    <row r="22" customFormat="false" ht="15" hidden="false" customHeight="false" outlineLevel="0" collapsed="false">
      <c r="B22" s="20" t="s">
        <v>21</v>
      </c>
      <c r="C22" s="23" t="n">
        <f aca="false">IF(COUNTIF(Plan!$AJ$6:$AJ$245,"&gt;0.005")&gt;=240,"Over 20 år",EDATE(C16,COUNTIF(Plan!$AJ$6:$AJ$245,"&gt;0.005")))</f>
        <v>47696</v>
      </c>
    </row>
    <row r="23" customFormat="false" ht="15" hidden="false" customHeight="false" outlineLevel="0" collapsed="false">
      <c r="B23" s="20" t="s">
        <v>22</v>
      </c>
      <c r="C23" s="21" t="n">
        <f aca="false">SUM(Plan!AK6:AK245)</f>
        <v>19543.587297808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AK2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35" min="4" style="0" width="12"/>
    <col collapsed="false" customWidth="true" hidden="false" outlineLevel="0" max="36" min="36" style="0" width="14"/>
    <col collapsed="false" customWidth="true" hidden="false" outlineLevel="0" max="37" min="37" style="0" width="12"/>
  </cols>
  <sheetData>
    <row r="1" customFormat="false" ht="31.5" hidden="false" customHeight="true" outlineLevel="0" collapsed="false">
      <c r="A1" s="7" t="s">
        <v>35</v>
      </c>
    </row>
    <row r="2" customFormat="false" ht="15" hidden="false" customHeight="false" outlineLevel="0" collapsed="false">
      <c r="A2" s="8" t="s">
        <v>36</v>
      </c>
    </row>
    <row r="4" customFormat="false" ht="15" hidden="false" customHeight="false" outlineLevel="0" collapsed="false">
      <c r="D4" s="24" t="str">
        <f aca="false">'Min gæld'!B5</f>
        <v>Kreditkort</v>
      </c>
      <c r="H4" s="24" t="str">
        <f aca="false">'Min gæld'!B6</f>
        <v>Forbrugslån</v>
      </c>
      <c r="L4" s="24" t="str">
        <f aca="false">'Min gæld'!B7</f>
        <v>Billån</v>
      </c>
      <c r="P4" s="24" t="str">
        <f aca="false">'Min gæld'!B8</f>
        <v>SU-lån</v>
      </c>
      <c r="T4" s="24" t="n">
        <f aca="false">'Min gæld'!B9</f>
        <v>0</v>
      </c>
      <c r="X4" s="24" t="n">
        <f aca="false">'Min gæld'!B10</f>
        <v>0</v>
      </c>
      <c r="AB4" s="24" t="n">
        <f aca="false">'Min gæld'!B11</f>
        <v>0</v>
      </c>
      <c r="AF4" s="24" t="n">
        <f aca="false">'Min gæld'!B12</f>
        <v>0</v>
      </c>
    </row>
    <row r="5" customFormat="false" ht="15" hidden="false" customHeight="false" outlineLevel="0" collapsed="false">
      <c r="A5" s="9" t="s">
        <v>37</v>
      </c>
      <c r="B5" s="10" t="s">
        <v>38</v>
      </c>
      <c r="C5" s="10" t="s">
        <v>39</v>
      </c>
      <c r="D5" s="9" t="s">
        <v>40</v>
      </c>
      <c r="E5" s="10" t="s">
        <v>41</v>
      </c>
      <c r="F5" s="10" t="s">
        <v>42</v>
      </c>
      <c r="G5" s="10" t="s">
        <v>18</v>
      </c>
      <c r="H5" s="9" t="s">
        <v>40</v>
      </c>
      <c r="I5" s="10" t="s">
        <v>41</v>
      </c>
      <c r="J5" s="10" t="s">
        <v>42</v>
      </c>
      <c r="K5" s="10" t="s">
        <v>18</v>
      </c>
      <c r="L5" s="9" t="s">
        <v>40</v>
      </c>
      <c r="M5" s="10" t="s">
        <v>41</v>
      </c>
      <c r="N5" s="10" t="s">
        <v>42</v>
      </c>
      <c r="O5" s="10" t="s">
        <v>18</v>
      </c>
      <c r="P5" s="9" t="s">
        <v>40</v>
      </c>
      <c r="Q5" s="10" t="s">
        <v>41</v>
      </c>
      <c r="R5" s="10" t="s">
        <v>42</v>
      </c>
      <c r="S5" s="10" t="s">
        <v>18</v>
      </c>
      <c r="T5" s="9" t="s">
        <v>40</v>
      </c>
      <c r="U5" s="10" t="s">
        <v>41</v>
      </c>
      <c r="V5" s="10" t="s">
        <v>42</v>
      </c>
      <c r="W5" s="10" t="s">
        <v>18</v>
      </c>
      <c r="X5" s="9" t="s">
        <v>40</v>
      </c>
      <c r="Y5" s="10" t="s">
        <v>41</v>
      </c>
      <c r="Z5" s="10" t="s">
        <v>42</v>
      </c>
      <c r="AA5" s="10" t="s">
        <v>18</v>
      </c>
      <c r="AB5" s="9" t="s">
        <v>40</v>
      </c>
      <c r="AC5" s="10" t="s">
        <v>41</v>
      </c>
      <c r="AD5" s="10" t="s">
        <v>42</v>
      </c>
      <c r="AE5" s="10" t="s">
        <v>18</v>
      </c>
      <c r="AF5" s="9" t="s">
        <v>40</v>
      </c>
      <c r="AG5" s="10" t="s">
        <v>41</v>
      </c>
      <c r="AH5" s="10" t="s">
        <v>42</v>
      </c>
      <c r="AI5" s="10" t="s">
        <v>18</v>
      </c>
      <c r="AJ5" s="9" t="s">
        <v>43</v>
      </c>
      <c r="AK5" s="10" t="s">
        <v>44</v>
      </c>
    </row>
    <row r="6" customFormat="false" ht="15" hidden="false" customHeight="false" outlineLevel="0" collapsed="false">
      <c r="A6" s="25" t="n">
        <v>1</v>
      </c>
      <c r="B6" s="26" t="n">
        <f aca="false">EDATE('Min gæld'!$C$16,0)</f>
        <v>46388</v>
      </c>
      <c r="C6" s="27" t="n">
        <f aca="false">N('Min gæld'!$C$15)+IF(N('Min gæld'!$C$5)&lt;=0.005,N('Min gæld'!$E$5),0)+IF(N('Min gæld'!$C$6)&lt;=0.005,N('Min gæld'!$E$6),0)+IF(N('Min gæld'!$C$7)&lt;=0.005,N('Min gæld'!$E$7),0)+IF(N('Min gæld'!$C$8)&lt;=0.005,N('Min gæld'!$E$8),0)+IF(N('Min gæld'!$C$9)&lt;=0.005,N('Min gæld'!$E$9),0)+IF(N('Min gæld'!$C$10)&lt;=0.005,N('Min gæld'!$E$10),0)+IF(N('Min gæld'!$C$11)&lt;=0.005,N('Min gæld'!$E$11),0)+IF(N('Min gæld'!$C$12)&lt;=0.005,N('Min gæld'!$E$12),0)</f>
        <v>1000</v>
      </c>
      <c r="D6" s="27" t="n">
        <f aca="false">MAX(0,C6)</f>
        <v>1000</v>
      </c>
      <c r="E6" s="27" t="n">
        <f aca="false">IF(N('Min gæld'!$C$5)&lt;=0.005,0,N('Min gæld'!$C$5)*(1+N('Min gæld'!$D$5)/12))</f>
        <v>8655.83333333333</v>
      </c>
      <c r="F6" s="27" t="n">
        <f aca="false">IF(E6&lt;=0,0,MIN(E6,N('Min gæld'!$E$5)+D6))</f>
        <v>1400</v>
      </c>
      <c r="G6" s="27" t="n">
        <f aca="false">IF(E6-F6&lt;0.005,0,E6-F6)</f>
        <v>7255.83333333333</v>
      </c>
      <c r="H6" s="27" t="n">
        <f aca="false">MAX(0,IF(N('Min gæld'!$C$5)&lt;=0.005,D6,D6+N('Min gæld'!$E$5)-F6))</f>
        <v>0</v>
      </c>
      <c r="I6" s="27" t="n">
        <f aca="false">IF(N('Min gæld'!$C$6)&lt;=0.005,0,N('Min gæld'!$C$6)*(1+N('Min gæld'!$D$6)/12))</f>
        <v>35288.75</v>
      </c>
      <c r="J6" s="27" t="n">
        <f aca="false">IF(I6&lt;=0,0,MIN(I6,N('Min gæld'!$E$6)+H6))</f>
        <v>900</v>
      </c>
      <c r="K6" s="27" t="n">
        <f aca="false">IF(I6-J6&lt;0.005,0,I6-J6)</f>
        <v>34388.75</v>
      </c>
      <c r="L6" s="27" t="n">
        <f aca="false">MAX(0,IF(N('Min gæld'!$C$6)&lt;=0.005,H6,H6+N('Min gæld'!$E$6)-J6))</f>
        <v>0</v>
      </c>
      <c r="M6" s="27" t="n">
        <f aca="false">IF(N('Min gæld'!$C$7)&lt;=0.005,0,N('Min gæld'!$C$7)*(1+N('Min gæld'!$D$7)/12))</f>
        <v>85389.5833333333</v>
      </c>
      <c r="N6" s="27" t="n">
        <f aca="false">IF(M6&lt;=0,0,MIN(M6,N('Min gæld'!$E$7)+L6))</f>
        <v>1800</v>
      </c>
      <c r="O6" s="27" t="n">
        <f aca="false">IF(M6-N6&lt;0.005,0,M6-N6)</f>
        <v>83589.5833333333</v>
      </c>
      <c r="P6" s="27" t="n">
        <f aca="false">MAX(0,IF(N('Min gæld'!$C$7)&lt;=0.005,L6,L6+N('Min gæld'!$E$7)-N6))</f>
        <v>0</v>
      </c>
      <c r="Q6" s="27" t="n">
        <f aca="false">IF(N('Min gæld'!$C$8)&lt;=0.005,0,N('Min gæld'!$C$8)*(1+N('Min gæld'!$D$8)/12))</f>
        <v>60200</v>
      </c>
      <c r="R6" s="27" t="n">
        <f aca="false">IF(Q6&lt;=0,0,MIN(Q6,N('Min gæld'!$E$8)+P6))</f>
        <v>700</v>
      </c>
      <c r="S6" s="27" t="n">
        <f aca="false">IF(Q6-R6&lt;0.005,0,Q6-R6)</f>
        <v>59500</v>
      </c>
      <c r="T6" s="27" t="n">
        <f aca="false">MAX(0,IF(N('Min gæld'!$C$8)&lt;=0.005,P6,P6+N('Min gæld'!$E$8)-R6))</f>
        <v>0</v>
      </c>
      <c r="U6" s="27" t="n">
        <f aca="false">IF(N('Min gæld'!$C$9)&lt;=0.005,0,N('Min gæld'!$C$9)*(1+N('Min gæld'!$D$9)/12))</f>
        <v>0</v>
      </c>
      <c r="V6" s="27" t="n">
        <f aca="false">IF(U6&lt;=0,0,MIN(U6,N('Min gæld'!$E$9)+T6))</f>
        <v>0</v>
      </c>
      <c r="W6" s="27" t="n">
        <f aca="false">IF(U6-V6&lt;0.005,0,U6-V6)</f>
        <v>0</v>
      </c>
      <c r="X6" s="27" t="n">
        <f aca="false">MAX(0,IF(N('Min gæld'!$C$9)&lt;=0.005,T6,T6+N('Min gæld'!$E$9)-V6))</f>
        <v>0</v>
      </c>
      <c r="Y6" s="27" t="n">
        <f aca="false">IF(N('Min gæld'!$C$10)&lt;=0.005,0,N('Min gæld'!$C$10)*(1+N('Min gæld'!$D$10)/12))</f>
        <v>0</v>
      </c>
      <c r="Z6" s="27" t="n">
        <f aca="false">IF(Y6&lt;=0,0,MIN(Y6,N('Min gæld'!$E$10)+X6))</f>
        <v>0</v>
      </c>
      <c r="AA6" s="27" t="n">
        <f aca="false">IF(Y6-Z6&lt;0.005,0,Y6-Z6)</f>
        <v>0</v>
      </c>
      <c r="AB6" s="27" t="n">
        <f aca="false">MAX(0,IF(N('Min gæld'!$C$10)&lt;=0.005,X6,X6+N('Min gæld'!$E$10)-Z6))</f>
        <v>0</v>
      </c>
      <c r="AC6" s="27" t="n">
        <f aca="false">IF(N('Min gæld'!$C$11)&lt;=0.005,0,N('Min gæld'!$C$11)*(1+N('Min gæld'!$D$11)/12))</f>
        <v>0</v>
      </c>
      <c r="AD6" s="27" t="n">
        <f aca="false">IF(AC6&lt;=0,0,MIN(AC6,N('Min gæld'!$E$11)+AB6))</f>
        <v>0</v>
      </c>
      <c r="AE6" s="27" t="n">
        <f aca="false">IF(AC6-AD6&lt;0.005,0,AC6-AD6)</f>
        <v>0</v>
      </c>
      <c r="AF6" s="27" t="n">
        <f aca="false">MAX(0,IF(N('Min gæld'!$C$11)&lt;=0.005,AB6,AB6+N('Min gæld'!$E$11)-AD6))</f>
        <v>0</v>
      </c>
      <c r="AG6" s="27" t="n">
        <f aca="false">IF(N('Min gæld'!$C$12)&lt;=0.005,0,N('Min gæld'!$C$12)*(1+N('Min gæld'!$D$12)/12))</f>
        <v>0</v>
      </c>
      <c r="AH6" s="27" t="n">
        <f aca="false">IF(AG6&lt;=0,0,MIN(AG6,N('Min gæld'!$E$12)+AF6))</f>
        <v>0</v>
      </c>
      <c r="AI6" s="27" t="n">
        <f aca="false">IF(AG6-AH6&lt;0.005,0,AG6-AH6)</f>
        <v>0</v>
      </c>
      <c r="AJ6" s="27" t="n">
        <f aca="false">G6+K6+O6+S6+W6+AA6+AE6+AI6</f>
        <v>184734.166666667</v>
      </c>
      <c r="AK6" s="28" t="n">
        <f aca="false">IF(E6&gt;0,E6-N('Min gæld'!$C$5),0)+IF(I6&gt;0,I6-N('Min gæld'!$C$6),0)+IF(M6&gt;0,M6-N('Min gæld'!$C$7),0)+IF(Q6&gt;0,Q6-N('Min gæld'!$C$8),0)+IF(U6&gt;0,U6-N('Min gæld'!$C$9),0)+IF(Y6&gt;0,Y6-N('Min gæld'!$C$10),0)+IF(AC6&gt;0,AC6-N('Min gæld'!$C$11),0)+IF(AG6&gt;0,AG6-N('Min gæld'!$C$12),0)</f>
        <v>1034.16666666668</v>
      </c>
    </row>
    <row r="7" customFormat="false" ht="15" hidden="false" customHeight="false" outlineLevel="0" collapsed="false">
      <c r="A7" s="25" t="n">
        <v>2</v>
      </c>
      <c r="B7" s="26" t="n">
        <f aca="false">EDATE('Min gæld'!$C$16,1)</f>
        <v>46419</v>
      </c>
      <c r="C7" s="27" t="n">
        <f aca="false">N('Min gæld'!$C$15)+IF(N(G6)&lt;=0.005,N('Min gæld'!$E$5),0)+IF(N(K6)&lt;=0.005,N('Min gæld'!$E$6),0)+IF(N(O6)&lt;=0.005,N('Min gæld'!$E$7),0)+IF(N(S6)&lt;=0.005,N('Min gæld'!$E$8),0)+IF(N(W6)&lt;=0.005,N('Min gæld'!$E$9),0)+IF(N(AA6)&lt;=0.005,N('Min gæld'!$E$10),0)+IF(N(AE6)&lt;=0.005,N('Min gæld'!$E$11),0)+IF(N(AI6)&lt;=0.005,N('Min gæld'!$E$12),0)</f>
        <v>1000</v>
      </c>
      <c r="D7" s="27" t="n">
        <f aca="false">MAX(0,C7)</f>
        <v>1000</v>
      </c>
      <c r="E7" s="27" t="n">
        <f aca="false">IF(N(G6)&lt;=0.005,0,N(G6)*(1+N('Min gæld'!$D$5)/12))</f>
        <v>7388.85694444445</v>
      </c>
      <c r="F7" s="27" t="n">
        <f aca="false">IF(E7&lt;=0,0,MIN(E7,N('Min gæld'!$E$5)+D7))</f>
        <v>1400</v>
      </c>
      <c r="G7" s="27" t="n">
        <f aca="false">IF(E7-F7&lt;0.005,0,E7-F7)</f>
        <v>5988.85694444445</v>
      </c>
      <c r="H7" s="27" t="n">
        <f aca="false">MAX(0,IF(N(G6)&lt;=0.005,D7,D7+N('Min gæld'!$E$5)-F7))</f>
        <v>0</v>
      </c>
      <c r="I7" s="27" t="n">
        <f aca="false">IF(N(K6)&lt;=0.005,0,N(K6)*(1+N('Min gæld'!$D$6)/12))</f>
        <v>34672.4571875</v>
      </c>
      <c r="J7" s="27" t="n">
        <f aca="false">IF(I7&lt;=0,0,MIN(I7,N('Min gæld'!$E$6)+H7))</f>
        <v>900</v>
      </c>
      <c r="K7" s="27" t="n">
        <f aca="false">IF(I7-J7&lt;0.005,0,I7-J7)</f>
        <v>33772.4571875</v>
      </c>
      <c r="L7" s="27" t="n">
        <f aca="false">MAX(0,IF(N(K6)&lt;=0.005,H7,H7+N('Min gæld'!$E$6)-J7))</f>
        <v>0</v>
      </c>
      <c r="M7" s="27" t="n">
        <f aca="false">IF(N(O6)&lt;=0.005,0,N(O6)*(1+N('Min gæld'!$D$7)/12))</f>
        <v>83972.7022569445</v>
      </c>
      <c r="N7" s="27" t="n">
        <f aca="false">IF(M7&lt;=0,0,MIN(M7,N('Min gæld'!$E$7)+L7))</f>
        <v>1800</v>
      </c>
      <c r="O7" s="27" t="n">
        <f aca="false">IF(M7-N7&lt;0.005,0,M7-N7)</f>
        <v>82172.7022569445</v>
      </c>
      <c r="P7" s="27" t="n">
        <f aca="false">MAX(0,IF(N(O6)&lt;=0.005,L7,L7+N('Min gæld'!$E$7)-N7))</f>
        <v>0</v>
      </c>
      <c r="Q7" s="27" t="n">
        <f aca="false">IF(N(S6)&lt;=0.005,0,N(S6)*(1+N('Min gæld'!$D$8)/12))</f>
        <v>59698.3333333333</v>
      </c>
      <c r="R7" s="27" t="n">
        <f aca="false">IF(Q7&lt;=0,0,MIN(Q7,N('Min gæld'!$E$8)+P7))</f>
        <v>700</v>
      </c>
      <c r="S7" s="27" t="n">
        <f aca="false">IF(Q7-R7&lt;0.005,0,Q7-R7)</f>
        <v>58998.3333333333</v>
      </c>
      <c r="T7" s="27" t="n">
        <f aca="false">MAX(0,IF(N(S6)&lt;=0.005,P7,P7+N('Min gæld'!$E$8)-R7))</f>
        <v>0</v>
      </c>
      <c r="U7" s="27" t="n">
        <f aca="false">IF(N(W6)&lt;=0.005,0,N(W6)*(1+N('Min gæld'!$D$9)/12))</f>
        <v>0</v>
      </c>
      <c r="V7" s="27" t="n">
        <f aca="false">IF(U7&lt;=0,0,MIN(U7,N('Min gæld'!$E$9)+T7))</f>
        <v>0</v>
      </c>
      <c r="W7" s="27" t="n">
        <f aca="false">IF(U7-V7&lt;0.005,0,U7-V7)</f>
        <v>0</v>
      </c>
      <c r="X7" s="27" t="n">
        <f aca="false">MAX(0,IF(N(W6)&lt;=0.005,T7,T7+N('Min gæld'!$E$9)-V7))</f>
        <v>0</v>
      </c>
      <c r="Y7" s="27" t="n">
        <f aca="false">IF(N(AA6)&lt;=0.005,0,N(AA6)*(1+N('Min gæld'!$D$10)/12))</f>
        <v>0</v>
      </c>
      <c r="Z7" s="27" t="n">
        <f aca="false">IF(Y7&lt;=0,0,MIN(Y7,N('Min gæld'!$E$10)+X7))</f>
        <v>0</v>
      </c>
      <c r="AA7" s="27" t="n">
        <f aca="false">IF(Y7-Z7&lt;0.005,0,Y7-Z7)</f>
        <v>0</v>
      </c>
      <c r="AB7" s="27" t="n">
        <f aca="false">MAX(0,IF(N(AA6)&lt;=0.005,X7,X7+N('Min gæld'!$E$10)-Z7))</f>
        <v>0</v>
      </c>
      <c r="AC7" s="27" t="n">
        <f aca="false">IF(N(AE6)&lt;=0.005,0,N(AE6)*(1+N('Min gæld'!$D$11)/12))</f>
        <v>0</v>
      </c>
      <c r="AD7" s="27" t="n">
        <f aca="false">IF(AC7&lt;=0,0,MIN(AC7,N('Min gæld'!$E$11)+AB7))</f>
        <v>0</v>
      </c>
      <c r="AE7" s="27" t="n">
        <f aca="false">IF(AC7-AD7&lt;0.005,0,AC7-AD7)</f>
        <v>0</v>
      </c>
      <c r="AF7" s="27" t="n">
        <f aca="false">MAX(0,IF(N(AE6)&lt;=0.005,AB7,AB7+N('Min gæld'!$E$11)-AD7))</f>
        <v>0</v>
      </c>
      <c r="AG7" s="27" t="n">
        <f aca="false">IF(N(AI6)&lt;=0.005,0,N(AI6)*(1+N('Min gæld'!$D$12)/12))</f>
        <v>0</v>
      </c>
      <c r="AH7" s="27" t="n">
        <f aca="false">IF(AG7&lt;=0,0,MIN(AG7,N('Min gæld'!$E$12)+AF7))</f>
        <v>0</v>
      </c>
      <c r="AI7" s="27" t="n">
        <f aca="false">IF(AG7-AH7&lt;0.005,0,AG7-AH7)</f>
        <v>0</v>
      </c>
      <c r="AJ7" s="27" t="n">
        <f aca="false">G7+K7+O7+S7+W7+AA7+AE7+AI7</f>
        <v>180932.349722222</v>
      </c>
      <c r="AK7" s="28" t="n">
        <f aca="false">IF(E7&gt;0,E7-N(G6),0)+IF(I7&gt;0,I7-N(K6),0)+IF(M7&gt;0,M7-N(O6),0)+IF(Q7&gt;0,Q7-N(S6),0)+IF(U7&gt;0,U7-N(W6),0)+IF(Y7&gt;0,Y7-N(AA6),0)+IF(AC7&gt;0,AC7-N(AE6),0)+IF(AG7&gt;0,AG7-N(AI6),0)</f>
        <v>998.18305555556</v>
      </c>
    </row>
    <row r="8" customFormat="false" ht="15" hidden="false" customHeight="false" outlineLevel="0" collapsed="false">
      <c r="A8" s="25" t="n">
        <v>3</v>
      </c>
      <c r="B8" s="26" t="n">
        <f aca="false">EDATE('Min gæld'!$C$16,2)</f>
        <v>46447</v>
      </c>
      <c r="C8" s="27" t="n">
        <f aca="false">N('Min gæld'!$C$15)+IF(N(G7)&lt;=0.005,N('Min gæld'!$E$5),0)+IF(N(K7)&lt;=0.005,N('Min gæld'!$E$6),0)+IF(N(O7)&lt;=0.005,N('Min gæld'!$E$7),0)+IF(N(S7)&lt;=0.005,N('Min gæld'!$E$8),0)+IF(N(W7)&lt;=0.005,N('Min gæld'!$E$9),0)+IF(N(AA7)&lt;=0.005,N('Min gæld'!$E$10),0)+IF(N(AE7)&lt;=0.005,N('Min gæld'!$E$11),0)+IF(N(AI7)&lt;=0.005,N('Min gæld'!$E$12),0)</f>
        <v>1000</v>
      </c>
      <c r="D8" s="27" t="n">
        <f aca="false">MAX(0,C8)</f>
        <v>1000</v>
      </c>
      <c r="E8" s="27" t="n">
        <f aca="false">IF(N(G7)&lt;=0.005,0,N(G7)*(1+N('Min gæld'!$D$5)/12))</f>
        <v>6098.65265509259</v>
      </c>
      <c r="F8" s="27" t="n">
        <f aca="false">IF(E8&lt;=0,0,MIN(E8,N('Min gæld'!$E$5)+D8))</f>
        <v>1400</v>
      </c>
      <c r="G8" s="27" t="n">
        <f aca="false">IF(E8-F8&lt;0.005,0,E8-F8)</f>
        <v>4698.65265509259</v>
      </c>
      <c r="H8" s="27" t="n">
        <f aca="false">MAX(0,IF(N(G7)&lt;=0.005,D8,D8+N('Min gæld'!$E$5)-F8))</f>
        <v>0</v>
      </c>
      <c r="I8" s="27" t="n">
        <f aca="false">IF(N(K7)&lt;=0.005,0,N(K7)*(1+N('Min gæld'!$D$6)/12))</f>
        <v>34051.0799592969</v>
      </c>
      <c r="J8" s="27" t="n">
        <f aca="false">IF(I8&lt;=0,0,MIN(I8,N('Min gæld'!$E$6)+H8))</f>
        <v>900</v>
      </c>
      <c r="K8" s="27" t="n">
        <f aca="false">IF(I8-J8&lt;0.005,0,I8-J8)</f>
        <v>33151.0799592969</v>
      </c>
      <c r="L8" s="27" t="n">
        <f aca="false">MAX(0,IF(N(K7)&lt;=0.005,H8,H8+N('Min gæld'!$E$6)-J8))</f>
        <v>0</v>
      </c>
      <c r="M8" s="27" t="n">
        <f aca="false">IF(N(O7)&lt;=0.005,0,N(O7)*(1+N('Min gæld'!$D$7)/12))</f>
        <v>82549.3271422888</v>
      </c>
      <c r="N8" s="27" t="n">
        <f aca="false">IF(M8&lt;=0,0,MIN(M8,N('Min gæld'!$E$7)+L8))</f>
        <v>1800</v>
      </c>
      <c r="O8" s="27" t="n">
        <f aca="false">IF(M8-N8&lt;0.005,0,M8-N8)</f>
        <v>80749.3271422888</v>
      </c>
      <c r="P8" s="27" t="n">
        <f aca="false">MAX(0,IF(N(O7)&lt;=0.005,L8,L8+N('Min gæld'!$E$7)-N8))</f>
        <v>0</v>
      </c>
      <c r="Q8" s="27" t="n">
        <f aca="false">IF(N(S7)&lt;=0.005,0,N(S7)*(1+N('Min gæld'!$D$8)/12))</f>
        <v>59194.9944444445</v>
      </c>
      <c r="R8" s="27" t="n">
        <f aca="false">IF(Q8&lt;=0,0,MIN(Q8,N('Min gæld'!$E$8)+P8))</f>
        <v>700</v>
      </c>
      <c r="S8" s="27" t="n">
        <f aca="false">IF(Q8-R8&lt;0.005,0,Q8-R8)</f>
        <v>58494.9944444445</v>
      </c>
      <c r="T8" s="27" t="n">
        <f aca="false">MAX(0,IF(N(S7)&lt;=0.005,P8,P8+N('Min gæld'!$E$8)-R8))</f>
        <v>0</v>
      </c>
      <c r="U8" s="27" t="n">
        <f aca="false">IF(N(W7)&lt;=0.005,0,N(W7)*(1+N('Min gæld'!$D$9)/12))</f>
        <v>0</v>
      </c>
      <c r="V8" s="27" t="n">
        <f aca="false">IF(U8&lt;=0,0,MIN(U8,N('Min gæld'!$E$9)+T8))</f>
        <v>0</v>
      </c>
      <c r="W8" s="27" t="n">
        <f aca="false">IF(U8-V8&lt;0.005,0,U8-V8)</f>
        <v>0</v>
      </c>
      <c r="X8" s="27" t="n">
        <f aca="false">MAX(0,IF(N(W7)&lt;=0.005,T8,T8+N('Min gæld'!$E$9)-V8))</f>
        <v>0</v>
      </c>
      <c r="Y8" s="27" t="n">
        <f aca="false">IF(N(AA7)&lt;=0.005,0,N(AA7)*(1+N('Min gæld'!$D$10)/12))</f>
        <v>0</v>
      </c>
      <c r="Z8" s="27" t="n">
        <f aca="false">IF(Y8&lt;=0,0,MIN(Y8,N('Min gæld'!$E$10)+X8))</f>
        <v>0</v>
      </c>
      <c r="AA8" s="27" t="n">
        <f aca="false">IF(Y8-Z8&lt;0.005,0,Y8-Z8)</f>
        <v>0</v>
      </c>
      <c r="AB8" s="27" t="n">
        <f aca="false">MAX(0,IF(N(AA7)&lt;=0.005,X8,X8+N('Min gæld'!$E$10)-Z8))</f>
        <v>0</v>
      </c>
      <c r="AC8" s="27" t="n">
        <f aca="false">IF(N(AE7)&lt;=0.005,0,N(AE7)*(1+N('Min gæld'!$D$11)/12))</f>
        <v>0</v>
      </c>
      <c r="AD8" s="27" t="n">
        <f aca="false">IF(AC8&lt;=0,0,MIN(AC8,N('Min gæld'!$E$11)+AB8))</f>
        <v>0</v>
      </c>
      <c r="AE8" s="27" t="n">
        <f aca="false">IF(AC8-AD8&lt;0.005,0,AC8-AD8)</f>
        <v>0</v>
      </c>
      <c r="AF8" s="27" t="n">
        <f aca="false">MAX(0,IF(N(AE7)&lt;=0.005,AB8,AB8+N('Min gæld'!$E$11)-AD8))</f>
        <v>0</v>
      </c>
      <c r="AG8" s="27" t="n">
        <f aca="false">IF(N(AI7)&lt;=0.005,0,N(AI7)*(1+N('Min gæld'!$D$12)/12))</f>
        <v>0</v>
      </c>
      <c r="AH8" s="27" t="n">
        <f aca="false">IF(AG8&lt;=0,0,MIN(AG8,N('Min gæld'!$E$12)+AF8))</f>
        <v>0</v>
      </c>
      <c r="AI8" s="27" t="n">
        <f aca="false">IF(AG8-AH8&lt;0.005,0,AG8-AH8)</f>
        <v>0</v>
      </c>
      <c r="AJ8" s="27" t="n">
        <f aca="false">G8+K8+O8+S8+W8+AA8+AE8+AI8</f>
        <v>177094.054201123</v>
      </c>
      <c r="AK8" s="28" t="n">
        <f aca="false">IF(E8&gt;0,E8-N(G7),0)+IF(I8&gt;0,I8-N(K7),0)+IF(M8&gt;0,M8-N(O7),0)+IF(Q8&gt;0,Q8-N(S7),0)+IF(U8&gt;0,U8-N(W7),0)+IF(Y8&gt;0,Y8-N(AA7),0)+IF(AC8&gt;0,AC8-N(AE7),0)+IF(AG8&gt;0,AG8-N(AI7),0)</f>
        <v>961.704478900479</v>
      </c>
    </row>
    <row r="9" customFormat="false" ht="15" hidden="false" customHeight="false" outlineLevel="0" collapsed="false">
      <c r="A9" s="25" t="n">
        <v>4</v>
      </c>
      <c r="B9" s="26" t="n">
        <f aca="false">EDATE('Min gæld'!$C$16,3)</f>
        <v>46478</v>
      </c>
      <c r="C9" s="27" t="n">
        <f aca="false">N('Min gæld'!$C$15)+IF(N(G8)&lt;=0.005,N('Min gæld'!$E$5),0)+IF(N(K8)&lt;=0.005,N('Min gæld'!$E$6),0)+IF(N(O8)&lt;=0.005,N('Min gæld'!$E$7),0)+IF(N(S8)&lt;=0.005,N('Min gæld'!$E$8),0)+IF(N(W8)&lt;=0.005,N('Min gæld'!$E$9),0)+IF(N(AA8)&lt;=0.005,N('Min gæld'!$E$10),0)+IF(N(AE8)&lt;=0.005,N('Min gæld'!$E$11),0)+IF(N(AI8)&lt;=0.005,N('Min gæld'!$E$12),0)</f>
        <v>1000</v>
      </c>
      <c r="D9" s="27" t="n">
        <f aca="false">MAX(0,C9)</f>
        <v>1000</v>
      </c>
      <c r="E9" s="27" t="n">
        <f aca="false">IF(N(G8)&lt;=0.005,0,N(G8)*(1+N('Min gæld'!$D$5)/12))</f>
        <v>4784.79462043596</v>
      </c>
      <c r="F9" s="27" t="n">
        <f aca="false">IF(E9&lt;=0,0,MIN(E9,N('Min gæld'!$E$5)+D9))</f>
        <v>1400</v>
      </c>
      <c r="G9" s="27" t="n">
        <f aca="false">IF(E9-F9&lt;0.005,0,E9-F9)</f>
        <v>3384.79462043596</v>
      </c>
      <c r="H9" s="27" t="n">
        <f aca="false">MAX(0,IF(N(G8)&lt;=0.005,D9,D9+N('Min gæld'!$E$5)-F9))</f>
        <v>0</v>
      </c>
      <c r="I9" s="27" t="n">
        <f aca="false">IF(N(K8)&lt;=0.005,0,N(K8)*(1+N('Min gæld'!$D$6)/12))</f>
        <v>33424.5763689611</v>
      </c>
      <c r="J9" s="27" t="n">
        <f aca="false">IF(I9&lt;=0,0,MIN(I9,N('Min gæld'!$E$6)+H9))</f>
        <v>900</v>
      </c>
      <c r="K9" s="27" t="n">
        <f aca="false">IF(I9-J9&lt;0.005,0,I9-J9)</f>
        <v>32524.5763689611</v>
      </c>
      <c r="L9" s="27" t="n">
        <f aca="false">MAX(0,IF(N(K8)&lt;=0.005,H9,H9+N('Min gæld'!$E$6)-J9))</f>
        <v>0</v>
      </c>
      <c r="M9" s="27" t="n">
        <f aca="false">IF(N(O8)&lt;=0.005,0,N(O8)*(1+N('Min gæld'!$D$7)/12))</f>
        <v>81119.4282250243</v>
      </c>
      <c r="N9" s="27" t="n">
        <f aca="false">IF(M9&lt;=0,0,MIN(M9,N('Min gæld'!$E$7)+L9))</f>
        <v>1800</v>
      </c>
      <c r="O9" s="27" t="n">
        <f aca="false">IF(M9-N9&lt;0.005,0,M9-N9)</f>
        <v>79319.4282250243</v>
      </c>
      <c r="P9" s="27" t="n">
        <f aca="false">MAX(0,IF(N(O8)&lt;=0.005,L9,L9+N('Min gæld'!$E$7)-N9))</f>
        <v>0</v>
      </c>
      <c r="Q9" s="27" t="n">
        <f aca="false">IF(N(S8)&lt;=0.005,0,N(S8)*(1+N('Min gæld'!$D$8)/12))</f>
        <v>58689.9777592593</v>
      </c>
      <c r="R9" s="27" t="n">
        <f aca="false">IF(Q9&lt;=0,0,MIN(Q9,N('Min gæld'!$E$8)+P9))</f>
        <v>700</v>
      </c>
      <c r="S9" s="27" t="n">
        <f aca="false">IF(Q9-R9&lt;0.005,0,Q9-R9)</f>
        <v>57989.9777592593</v>
      </c>
      <c r="T9" s="27" t="n">
        <f aca="false">MAX(0,IF(N(S8)&lt;=0.005,P9,P9+N('Min gæld'!$E$8)-R9))</f>
        <v>0</v>
      </c>
      <c r="U9" s="27" t="n">
        <f aca="false">IF(N(W8)&lt;=0.005,0,N(W8)*(1+N('Min gæld'!$D$9)/12))</f>
        <v>0</v>
      </c>
      <c r="V9" s="27" t="n">
        <f aca="false">IF(U9&lt;=0,0,MIN(U9,N('Min gæld'!$E$9)+T9))</f>
        <v>0</v>
      </c>
      <c r="W9" s="27" t="n">
        <f aca="false">IF(U9-V9&lt;0.005,0,U9-V9)</f>
        <v>0</v>
      </c>
      <c r="X9" s="27" t="n">
        <f aca="false">MAX(0,IF(N(W8)&lt;=0.005,T9,T9+N('Min gæld'!$E$9)-V9))</f>
        <v>0</v>
      </c>
      <c r="Y9" s="27" t="n">
        <f aca="false">IF(N(AA8)&lt;=0.005,0,N(AA8)*(1+N('Min gæld'!$D$10)/12))</f>
        <v>0</v>
      </c>
      <c r="Z9" s="27" t="n">
        <f aca="false">IF(Y9&lt;=0,0,MIN(Y9,N('Min gæld'!$E$10)+X9))</f>
        <v>0</v>
      </c>
      <c r="AA9" s="27" t="n">
        <f aca="false">IF(Y9-Z9&lt;0.005,0,Y9-Z9)</f>
        <v>0</v>
      </c>
      <c r="AB9" s="27" t="n">
        <f aca="false">MAX(0,IF(N(AA8)&lt;=0.005,X9,X9+N('Min gæld'!$E$10)-Z9))</f>
        <v>0</v>
      </c>
      <c r="AC9" s="27" t="n">
        <f aca="false">IF(N(AE8)&lt;=0.005,0,N(AE8)*(1+N('Min gæld'!$D$11)/12))</f>
        <v>0</v>
      </c>
      <c r="AD9" s="27" t="n">
        <f aca="false">IF(AC9&lt;=0,0,MIN(AC9,N('Min gæld'!$E$11)+AB9))</f>
        <v>0</v>
      </c>
      <c r="AE9" s="27" t="n">
        <f aca="false">IF(AC9-AD9&lt;0.005,0,AC9-AD9)</f>
        <v>0</v>
      </c>
      <c r="AF9" s="27" t="n">
        <f aca="false">MAX(0,IF(N(AE8)&lt;=0.005,AB9,AB9+N('Min gæld'!$E$11)-AD9))</f>
        <v>0</v>
      </c>
      <c r="AG9" s="27" t="n">
        <f aca="false">IF(N(AI8)&lt;=0.005,0,N(AI8)*(1+N('Min gæld'!$D$12)/12))</f>
        <v>0</v>
      </c>
      <c r="AH9" s="27" t="n">
        <f aca="false">IF(AG9&lt;=0,0,MIN(AG9,N('Min gæld'!$E$12)+AF9))</f>
        <v>0</v>
      </c>
      <c r="AI9" s="27" t="n">
        <f aca="false">IF(AG9-AH9&lt;0.005,0,AG9-AH9)</f>
        <v>0</v>
      </c>
      <c r="AJ9" s="27" t="n">
        <f aca="false">G9+K9+O9+S9+W9+AA9+AE9+AI9</f>
        <v>173218.776973681</v>
      </c>
      <c r="AK9" s="28" t="n">
        <f aca="false">IF(E9&gt;0,E9-N(G8),0)+IF(I9&gt;0,I9-N(K8),0)+IF(M9&gt;0,M9-N(O8),0)+IF(Q9&gt;0,Q9-N(S8),0)+IF(U9&gt;0,U9-N(W8),0)+IF(Y9&gt;0,Y9-N(AA8),0)+IF(AC9&gt;0,AC9-N(AE8),0)+IF(AG9&gt;0,AG9-N(AI8),0)</f>
        <v>924.722772557872</v>
      </c>
    </row>
    <row r="10" customFormat="false" ht="15" hidden="false" customHeight="false" outlineLevel="0" collapsed="false">
      <c r="A10" s="25" t="n">
        <v>5</v>
      </c>
      <c r="B10" s="26" t="n">
        <f aca="false">EDATE('Min gæld'!$C$16,4)</f>
        <v>46508</v>
      </c>
      <c r="C10" s="27" t="n">
        <f aca="false">N('Min gæld'!$C$15)+IF(N(G9)&lt;=0.005,N('Min gæld'!$E$5),0)+IF(N(K9)&lt;=0.005,N('Min gæld'!$E$6),0)+IF(N(O9)&lt;=0.005,N('Min gæld'!$E$7),0)+IF(N(S9)&lt;=0.005,N('Min gæld'!$E$8),0)+IF(N(W9)&lt;=0.005,N('Min gæld'!$E$9),0)+IF(N(AA9)&lt;=0.005,N('Min gæld'!$E$10),0)+IF(N(AE9)&lt;=0.005,N('Min gæld'!$E$11),0)+IF(N(AI9)&lt;=0.005,N('Min gæld'!$E$12),0)</f>
        <v>1000</v>
      </c>
      <c r="D10" s="27" t="n">
        <f aca="false">MAX(0,C10)</f>
        <v>1000</v>
      </c>
      <c r="E10" s="27" t="n">
        <f aca="false">IF(N(G9)&lt;=0.005,0,N(G9)*(1+N('Min gæld'!$D$5)/12))</f>
        <v>3446.84918847728</v>
      </c>
      <c r="F10" s="27" t="n">
        <f aca="false">IF(E10&lt;=0,0,MIN(E10,N('Min gæld'!$E$5)+D10))</f>
        <v>1400</v>
      </c>
      <c r="G10" s="27" t="n">
        <f aca="false">IF(E10-F10&lt;0.005,0,E10-F10)</f>
        <v>2046.84918847728</v>
      </c>
      <c r="H10" s="27" t="n">
        <f aca="false">MAX(0,IF(N(G9)&lt;=0.005,D10,D10+N('Min gæld'!$E$5)-F10))</f>
        <v>0</v>
      </c>
      <c r="I10" s="27" t="n">
        <f aca="false">IF(N(K9)&lt;=0.005,0,N(K9)*(1+N('Min gæld'!$D$6)/12))</f>
        <v>32792.904124005</v>
      </c>
      <c r="J10" s="27" t="n">
        <f aca="false">IF(I10&lt;=0,0,MIN(I10,N('Min gæld'!$E$6)+H10))</f>
        <v>900</v>
      </c>
      <c r="K10" s="27" t="n">
        <f aca="false">IF(I10-J10&lt;0.005,0,I10-J10)</f>
        <v>31892.904124005</v>
      </c>
      <c r="L10" s="27" t="n">
        <f aca="false">MAX(0,IF(N(K9)&lt;=0.005,H10,H10+N('Min gæld'!$E$6)-J10))</f>
        <v>0</v>
      </c>
      <c r="M10" s="27" t="n">
        <f aca="false">IF(N(O9)&lt;=0.005,0,N(O9)*(1+N('Min gæld'!$D$7)/12))</f>
        <v>79682.975604389</v>
      </c>
      <c r="N10" s="27" t="n">
        <f aca="false">IF(M10&lt;=0,0,MIN(M10,N('Min gæld'!$E$7)+L10))</f>
        <v>1800</v>
      </c>
      <c r="O10" s="27" t="n">
        <f aca="false">IF(M10-N10&lt;0.005,0,M10-N10)</f>
        <v>77882.975604389</v>
      </c>
      <c r="P10" s="27" t="n">
        <f aca="false">MAX(0,IF(N(O9)&lt;=0.005,L10,L10+N('Min gæld'!$E$7)-N10))</f>
        <v>0</v>
      </c>
      <c r="Q10" s="27" t="n">
        <f aca="false">IF(N(S9)&lt;=0.005,0,N(S9)*(1+N('Min gæld'!$D$8)/12))</f>
        <v>58183.2776851235</v>
      </c>
      <c r="R10" s="27" t="n">
        <f aca="false">IF(Q10&lt;=0,0,MIN(Q10,N('Min gæld'!$E$8)+P10))</f>
        <v>700</v>
      </c>
      <c r="S10" s="27" t="n">
        <f aca="false">IF(Q10-R10&lt;0.005,0,Q10-R10)</f>
        <v>57483.2776851235</v>
      </c>
      <c r="T10" s="27" t="n">
        <f aca="false">MAX(0,IF(N(S9)&lt;=0.005,P10,P10+N('Min gæld'!$E$8)-R10))</f>
        <v>0</v>
      </c>
      <c r="U10" s="27" t="n">
        <f aca="false">IF(N(W9)&lt;=0.005,0,N(W9)*(1+N('Min gæld'!$D$9)/12))</f>
        <v>0</v>
      </c>
      <c r="V10" s="27" t="n">
        <f aca="false">IF(U10&lt;=0,0,MIN(U10,N('Min gæld'!$E$9)+T10))</f>
        <v>0</v>
      </c>
      <c r="W10" s="27" t="n">
        <f aca="false">IF(U10-V10&lt;0.005,0,U10-V10)</f>
        <v>0</v>
      </c>
      <c r="X10" s="27" t="n">
        <f aca="false">MAX(0,IF(N(W9)&lt;=0.005,T10,T10+N('Min gæld'!$E$9)-V10))</f>
        <v>0</v>
      </c>
      <c r="Y10" s="27" t="n">
        <f aca="false">IF(N(AA9)&lt;=0.005,0,N(AA9)*(1+N('Min gæld'!$D$10)/12))</f>
        <v>0</v>
      </c>
      <c r="Z10" s="27" t="n">
        <f aca="false">IF(Y10&lt;=0,0,MIN(Y10,N('Min gæld'!$E$10)+X10))</f>
        <v>0</v>
      </c>
      <c r="AA10" s="27" t="n">
        <f aca="false">IF(Y10-Z10&lt;0.005,0,Y10-Z10)</f>
        <v>0</v>
      </c>
      <c r="AB10" s="27" t="n">
        <f aca="false">MAX(0,IF(N(AA9)&lt;=0.005,X10,X10+N('Min gæld'!$E$10)-Z10))</f>
        <v>0</v>
      </c>
      <c r="AC10" s="27" t="n">
        <f aca="false">IF(N(AE9)&lt;=0.005,0,N(AE9)*(1+N('Min gæld'!$D$11)/12))</f>
        <v>0</v>
      </c>
      <c r="AD10" s="27" t="n">
        <f aca="false">IF(AC10&lt;=0,0,MIN(AC10,N('Min gæld'!$E$11)+AB10))</f>
        <v>0</v>
      </c>
      <c r="AE10" s="27" t="n">
        <f aca="false">IF(AC10-AD10&lt;0.005,0,AC10-AD10)</f>
        <v>0</v>
      </c>
      <c r="AF10" s="27" t="n">
        <f aca="false">MAX(0,IF(N(AE9)&lt;=0.005,AB10,AB10+N('Min gæld'!$E$11)-AD10))</f>
        <v>0</v>
      </c>
      <c r="AG10" s="27" t="n">
        <f aca="false">IF(N(AI9)&lt;=0.005,0,N(AI9)*(1+N('Min gæld'!$D$12)/12))</f>
        <v>0</v>
      </c>
      <c r="AH10" s="27" t="n">
        <f aca="false">IF(AG10&lt;=0,0,MIN(AG10,N('Min gæld'!$E$12)+AF10))</f>
        <v>0</v>
      </c>
      <c r="AI10" s="27" t="n">
        <f aca="false">IF(AG10-AH10&lt;0.005,0,AG10-AH10)</f>
        <v>0</v>
      </c>
      <c r="AJ10" s="27" t="n">
        <f aca="false">G10+K10+O10+S10+W10+AA10+AE10+AI10</f>
        <v>169306.006601995</v>
      </c>
      <c r="AK10" s="28" t="n">
        <f aca="false">IF(E10&gt;0,E10-N(G9),0)+IF(I10&gt;0,I10-N(K9),0)+IF(M10&gt;0,M10-N(O9),0)+IF(Q10&gt;0,Q10-N(S9),0)+IF(U10&gt;0,U10-N(W9),0)+IF(Y10&gt;0,Y10-N(AA9),0)+IF(AC10&gt;0,AC10-N(AE9),0)+IF(AG10&gt;0,AG10-N(AI9),0)</f>
        <v>887.229628314154</v>
      </c>
    </row>
    <row r="11" customFormat="false" ht="15" hidden="false" customHeight="false" outlineLevel="0" collapsed="false">
      <c r="A11" s="25" t="n">
        <v>6</v>
      </c>
      <c r="B11" s="26" t="n">
        <f aca="false">EDATE('Min gæld'!$C$16,5)</f>
        <v>46539</v>
      </c>
      <c r="C11" s="27" t="n">
        <f aca="false">N('Min gæld'!$C$15)+IF(N(G10)&lt;=0.005,N('Min gæld'!$E$5),0)+IF(N(K10)&lt;=0.005,N('Min gæld'!$E$6),0)+IF(N(O10)&lt;=0.005,N('Min gæld'!$E$7),0)+IF(N(S10)&lt;=0.005,N('Min gæld'!$E$8),0)+IF(N(W10)&lt;=0.005,N('Min gæld'!$E$9),0)+IF(N(AA10)&lt;=0.005,N('Min gæld'!$E$10),0)+IF(N(AE10)&lt;=0.005,N('Min gæld'!$E$11),0)+IF(N(AI10)&lt;=0.005,N('Min gæld'!$E$12),0)</f>
        <v>1000</v>
      </c>
      <c r="D11" s="27" t="n">
        <f aca="false">MAX(0,C11)</f>
        <v>1000</v>
      </c>
      <c r="E11" s="27" t="n">
        <f aca="false">IF(N(G10)&lt;=0.005,0,N(G10)*(1+N('Min gæld'!$D$5)/12))</f>
        <v>2084.3747569327</v>
      </c>
      <c r="F11" s="27" t="n">
        <f aca="false">IF(E11&lt;=0,0,MIN(E11,N('Min gæld'!$E$5)+D11))</f>
        <v>1400</v>
      </c>
      <c r="G11" s="27" t="n">
        <f aca="false">IF(E11-F11&lt;0.005,0,E11-F11)</f>
        <v>684.374756932699</v>
      </c>
      <c r="H11" s="27" t="n">
        <f aca="false">MAX(0,IF(N(G10)&lt;=0.005,D11,D11+N('Min gæld'!$E$5)-F11))</f>
        <v>0</v>
      </c>
      <c r="I11" s="27" t="n">
        <f aca="false">IF(N(K10)&lt;=0.005,0,N(K10)*(1+N('Min gæld'!$D$6)/12))</f>
        <v>32156.0205830281</v>
      </c>
      <c r="J11" s="27" t="n">
        <f aca="false">IF(I11&lt;=0,0,MIN(I11,N('Min gæld'!$E$6)+H11))</f>
        <v>900</v>
      </c>
      <c r="K11" s="27" t="n">
        <f aca="false">IF(I11-J11&lt;0.005,0,I11-J11)</f>
        <v>31256.0205830281</v>
      </c>
      <c r="L11" s="27" t="n">
        <f aca="false">MAX(0,IF(N(K10)&lt;=0.005,H11,H11+N('Min gæld'!$E$6)-J11))</f>
        <v>0</v>
      </c>
      <c r="M11" s="27" t="n">
        <f aca="false">IF(N(O10)&lt;=0.005,0,N(O10)*(1+N('Min gæld'!$D$7)/12))</f>
        <v>78239.9392425758</v>
      </c>
      <c r="N11" s="27" t="n">
        <f aca="false">IF(M11&lt;=0,0,MIN(M11,N('Min gæld'!$E$7)+L11))</f>
        <v>1800</v>
      </c>
      <c r="O11" s="27" t="n">
        <f aca="false">IF(M11-N11&lt;0.005,0,M11-N11)</f>
        <v>76439.9392425758</v>
      </c>
      <c r="P11" s="27" t="n">
        <f aca="false">MAX(0,IF(N(O10)&lt;=0.005,L11,L11+N('Min gæld'!$E$7)-N11))</f>
        <v>0</v>
      </c>
      <c r="Q11" s="27" t="n">
        <f aca="false">IF(N(S10)&lt;=0.005,0,N(S10)*(1+N('Min gæld'!$D$8)/12))</f>
        <v>57674.8886107406</v>
      </c>
      <c r="R11" s="27" t="n">
        <f aca="false">IF(Q11&lt;=0,0,MIN(Q11,N('Min gæld'!$E$8)+P11))</f>
        <v>700</v>
      </c>
      <c r="S11" s="27" t="n">
        <f aca="false">IF(Q11-R11&lt;0.005,0,Q11-R11)</f>
        <v>56974.8886107406</v>
      </c>
      <c r="T11" s="27" t="n">
        <f aca="false">MAX(0,IF(N(S10)&lt;=0.005,P11,P11+N('Min gæld'!$E$8)-R11))</f>
        <v>0</v>
      </c>
      <c r="U11" s="27" t="n">
        <f aca="false">IF(N(W10)&lt;=0.005,0,N(W10)*(1+N('Min gæld'!$D$9)/12))</f>
        <v>0</v>
      </c>
      <c r="V11" s="27" t="n">
        <f aca="false">IF(U11&lt;=0,0,MIN(U11,N('Min gæld'!$E$9)+T11))</f>
        <v>0</v>
      </c>
      <c r="W11" s="27" t="n">
        <f aca="false">IF(U11-V11&lt;0.005,0,U11-V11)</f>
        <v>0</v>
      </c>
      <c r="X11" s="27" t="n">
        <f aca="false">MAX(0,IF(N(W10)&lt;=0.005,T11,T11+N('Min gæld'!$E$9)-V11))</f>
        <v>0</v>
      </c>
      <c r="Y11" s="27" t="n">
        <f aca="false">IF(N(AA10)&lt;=0.005,0,N(AA10)*(1+N('Min gæld'!$D$10)/12))</f>
        <v>0</v>
      </c>
      <c r="Z11" s="27" t="n">
        <f aca="false">IF(Y11&lt;=0,0,MIN(Y11,N('Min gæld'!$E$10)+X11))</f>
        <v>0</v>
      </c>
      <c r="AA11" s="27" t="n">
        <f aca="false">IF(Y11-Z11&lt;0.005,0,Y11-Z11)</f>
        <v>0</v>
      </c>
      <c r="AB11" s="27" t="n">
        <f aca="false">MAX(0,IF(N(AA10)&lt;=0.005,X11,X11+N('Min gæld'!$E$10)-Z11))</f>
        <v>0</v>
      </c>
      <c r="AC11" s="27" t="n">
        <f aca="false">IF(N(AE10)&lt;=0.005,0,N(AE10)*(1+N('Min gæld'!$D$11)/12))</f>
        <v>0</v>
      </c>
      <c r="AD11" s="27" t="n">
        <f aca="false">IF(AC11&lt;=0,0,MIN(AC11,N('Min gæld'!$E$11)+AB11))</f>
        <v>0</v>
      </c>
      <c r="AE11" s="27" t="n">
        <f aca="false">IF(AC11-AD11&lt;0.005,0,AC11-AD11)</f>
        <v>0</v>
      </c>
      <c r="AF11" s="27" t="n">
        <f aca="false">MAX(0,IF(N(AE10)&lt;=0.005,AB11,AB11+N('Min gæld'!$E$11)-AD11))</f>
        <v>0</v>
      </c>
      <c r="AG11" s="27" t="n">
        <f aca="false">IF(N(AI10)&lt;=0.005,0,N(AI10)*(1+N('Min gæld'!$D$12)/12))</f>
        <v>0</v>
      </c>
      <c r="AH11" s="27" t="n">
        <f aca="false">IF(AG11&lt;=0,0,MIN(AG11,N('Min gæld'!$E$12)+AF11))</f>
        <v>0</v>
      </c>
      <c r="AI11" s="27" t="n">
        <f aca="false">IF(AG11-AH11&lt;0.005,0,AG11-AH11)</f>
        <v>0</v>
      </c>
      <c r="AJ11" s="27" t="n">
        <f aca="false">G11+K11+O11+S11+W11+AA11+AE11+AI11</f>
        <v>165355.223193277</v>
      </c>
      <c r="AK11" s="28" t="n">
        <f aca="false">IF(E11&gt;0,E11-N(G10),0)+IF(I11&gt;0,I11-N(K10),0)+IF(M11&gt;0,M11-N(O10),0)+IF(Q11&gt;0,Q11-N(S10),0)+IF(U11&gt;0,U11-N(W10),0)+IF(Y11&gt;0,Y11-N(AA10),0)+IF(AC11&gt;0,AC11-N(AE10),0)+IF(AG11&gt;0,AG11-N(AI10),0)</f>
        <v>849.216591282332</v>
      </c>
    </row>
    <row r="12" customFormat="false" ht="15" hidden="false" customHeight="false" outlineLevel="0" collapsed="false">
      <c r="A12" s="25" t="n">
        <v>7</v>
      </c>
      <c r="B12" s="26" t="n">
        <f aca="false">EDATE('Min gæld'!$C$16,6)</f>
        <v>46569</v>
      </c>
      <c r="C12" s="27" t="n">
        <f aca="false">N('Min gæld'!$C$15)+IF(N(G11)&lt;=0.005,N('Min gæld'!$E$5),0)+IF(N(K11)&lt;=0.005,N('Min gæld'!$E$6),0)+IF(N(O11)&lt;=0.005,N('Min gæld'!$E$7),0)+IF(N(S11)&lt;=0.005,N('Min gæld'!$E$8),0)+IF(N(W11)&lt;=0.005,N('Min gæld'!$E$9),0)+IF(N(AA11)&lt;=0.005,N('Min gæld'!$E$10),0)+IF(N(AE11)&lt;=0.005,N('Min gæld'!$E$11),0)+IF(N(AI11)&lt;=0.005,N('Min gæld'!$E$12),0)</f>
        <v>1000</v>
      </c>
      <c r="D12" s="27" t="n">
        <f aca="false">MAX(0,C12)</f>
        <v>1000</v>
      </c>
      <c r="E12" s="27" t="n">
        <f aca="false">IF(N(G11)&lt;=0.005,0,N(G11)*(1+N('Min gæld'!$D$5)/12))</f>
        <v>696.921627476465</v>
      </c>
      <c r="F12" s="27" t="n">
        <f aca="false">IF(E12&lt;=0,0,MIN(E12,N('Min gæld'!$E$5)+D12))</f>
        <v>696.921627476465</v>
      </c>
      <c r="G12" s="27" t="n">
        <f aca="false">IF(E12-F12&lt;0.005,0,E12-F12)</f>
        <v>0</v>
      </c>
      <c r="H12" s="27" t="n">
        <f aca="false">MAX(0,IF(N(G11)&lt;=0.005,D12,D12+N('Min gæld'!$E$5)-F12))</f>
        <v>703.078372523535</v>
      </c>
      <c r="I12" s="27" t="n">
        <f aca="false">IF(N(K11)&lt;=0.005,0,N(K11)*(1+N('Min gæld'!$D$6)/12))</f>
        <v>31513.882752838</v>
      </c>
      <c r="J12" s="27" t="n">
        <f aca="false">IF(I12&lt;=0,0,MIN(I12,N('Min gæld'!$E$6)+H12))</f>
        <v>1603.07837252353</v>
      </c>
      <c r="K12" s="27" t="n">
        <f aca="false">IF(I12-J12&lt;0.005,0,I12-J12)</f>
        <v>29910.8043803145</v>
      </c>
      <c r="L12" s="27" t="n">
        <f aca="false">MAX(0,IF(N(K11)&lt;=0.005,H12,H12+N('Min gæld'!$E$6)-J12))</f>
        <v>0</v>
      </c>
      <c r="M12" s="27" t="n">
        <f aca="false">IF(N(O11)&lt;=0.005,0,N(O11)*(1+N('Min gæld'!$D$7)/12))</f>
        <v>76790.2889641042</v>
      </c>
      <c r="N12" s="27" t="n">
        <f aca="false">IF(M12&lt;=0,0,MIN(M12,N('Min gæld'!$E$7)+L12))</f>
        <v>1800</v>
      </c>
      <c r="O12" s="27" t="n">
        <f aca="false">IF(M12-N12&lt;0.005,0,M12-N12)</f>
        <v>74990.2889641042</v>
      </c>
      <c r="P12" s="27" t="n">
        <f aca="false">MAX(0,IF(N(O11)&lt;=0.005,L12,L12+N('Min gæld'!$E$7)-N12))</f>
        <v>0</v>
      </c>
      <c r="Q12" s="27" t="n">
        <f aca="false">IF(N(S11)&lt;=0.005,0,N(S11)*(1+N('Min gæld'!$D$8)/12))</f>
        <v>57164.8049061097</v>
      </c>
      <c r="R12" s="27" t="n">
        <f aca="false">IF(Q12&lt;=0,0,MIN(Q12,N('Min gæld'!$E$8)+P12))</f>
        <v>700</v>
      </c>
      <c r="S12" s="27" t="n">
        <f aca="false">IF(Q12-R12&lt;0.005,0,Q12-R12)</f>
        <v>56464.8049061097</v>
      </c>
      <c r="T12" s="27" t="n">
        <f aca="false">MAX(0,IF(N(S11)&lt;=0.005,P12,P12+N('Min gæld'!$E$8)-R12))</f>
        <v>0</v>
      </c>
      <c r="U12" s="27" t="n">
        <f aca="false">IF(N(W11)&lt;=0.005,0,N(W11)*(1+N('Min gæld'!$D$9)/12))</f>
        <v>0</v>
      </c>
      <c r="V12" s="27" t="n">
        <f aca="false">IF(U12&lt;=0,0,MIN(U12,N('Min gæld'!$E$9)+T12))</f>
        <v>0</v>
      </c>
      <c r="W12" s="27" t="n">
        <f aca="false">IF(U12-V12&lt;0.005,0,U12-V12)</f>
        <v>0</v>
      </c>
      <c r="X12" s="27" t="n">
        <f aca="false">MAX(0,IF(N(W11)&lt;=0.005,T12,T12+N('Min gæld'!$E$9)-V12))</f>
        <v>0</v>
      </c>
      <c r="Y12" s="27" t="n">
        <f aca="false">IF(N(AA11)&lt;=0.005,0,N(AA11)*(1+N('Min gæld'!$D$10)/12))</f>
        <v>0</v>
      </c>
      <c r="Z12" s="27" t="n">
        <f aca="false">IF(Y12&lt;=0,0,MIN(Y12,N('Min gæld'!$E$10)+X12))</f>
        <v>0</v>
      </c>
      <c r="AA12" s="27" t="n">
        <f aca="false">IF(Y12-Z12&lt;0.005,0,Y12-Z12)</f>
        <v>0</v>
      </c>
      <c r="AB12" s="27" t="n">
        <f aca="false">MAX(0,IF(N(AA11)&lt;=0.005,X12,X12+N('Min gæld'!$E$10)-Z12))</f>
        <v>0</v>
      </c>
      <c r="AC12" s="27" t="n">
        <f aca="false">IF(N(AE11)&lt;=0.005,0,N(AE11)*(1+N('Min gæld'!$D$11)/12))</f>
        <v>0</v>
      </c>
      <c r="AD12" s="27" t="n">
        <f aca="false">IF(AC12&lt;=0,0,MIN(AC12,N('Min gæld'!$E$11)+AB12))</f>
        <v>0</v>
      </c>
      <c r="AE12" s="27" t="n">
        <f aca="false">IF(AC12-AD12&lt;0.005,0,AC12-AD12)</f>
        <v>0</v>
      </c>
      <c r="AF12" s="27" t="n">
        <f aca="false">MAX(0,IF(N(AE11)&lt;=0.005,AB12,AB12+N('Min gæld'!$E$11)-AD12))</f>
        <v>0</v>
      </c>
      <c r="AG12" s="27" t="n">
        <f aca="false">IF(N(AI11)&lt;=0.005,0,N(AI11)*(1+N('Min gæld'!$D$12)/12))</f>
        <v>0</v>
      </c>
      <c r="AH12" s="27" t="n">
        <f aca="false">IF(AG12&lt;=0,0,MIN(AG12,N('Min gæld'!$E$12)+AF12))</f>
        <v>0</v>
      </c>
      <c r="AI12" s="27" t="n">
        <f aca="false">IF(AG12-AH12&lt;0.005,0,AG12-AH12)</f>
        <v>0</v>
      </c>
      <c r="AJ12" s="27" t="n">
        <f aca="false">G12+K12+O12+S12+W12+AA12+AE12+AI12</f>
        <v>161365.898250528</v>
      </c>
      <c r="AK12" s="28" t="n">
        <f aca="false">IF(E12&gt;0,E12-N(G11),0)+IF(I12&gt;0,I12-N(K11),0)+IF(M12&gt;0,M12-N(O11),0)+IF(Q12&gt;0,Q12-N(S11),0)+IF(U12&gt;0,U12-N(W11),0)+IF(Y12&gt;0,Y12-N(AA11),0)+IF(AC12&gt;0,AC12-N(AE11),0)+IF(AG12&gt;0,AG12-N(AI11),0)</f>
        <v>810.675057251366</v>
      </c>
    </row>
    <row r="13" customFormat="false" ht="15" hidden="false" customHeight="false" outlineLevel="0" collapsed="false">
      <c r="A13" s="25" t="n">
        <v>8</v>
      </c>
      <c r="B13" s="26" t="n">
        <f aca="false">EDATE('Min gæld'!$C$16,7)</f>
        <v>46600</v>
      </c>
      <c r="C13" s="27" t="n">
        <f aca="false">N('Min gæld'!$C$15)+IF(N(G12)&lt;=0.005,N('Min gæld'!$E$5),0)+IF(N(K12)&lt;=0.005,N('Min gæld'!$E$6),0)+IF(N(O12)&lt;=0.005,N('Min gæld'!$E$7),0)+IF(N(S12)&lt;=0.005,N('Min gæld'!$E$8),0)+IF(N(W12)&lt;=0.005,N('Min gæld'!$E$9),0)+IF(N(AA12)&lt;=0.005,N('Min gæld'!$E$10),0)+IF(N(AE12)&lt;=0.005,N('Min gæld'!$E$11),0)+IF(N(AI12)&lt;=0.005,N('Min gæld'!$E$12),0)</f>
        <v>1400</v>
      </c>
      <c r="D13" s="27" t="n">
        <f aca="false">MAX(0,C13)</f>
        <v>1400</v>
      </c>
      <c r="E13" s="27" t="n">
        <f aca="false">IF(N(G12)&lt;=0.005,0,N(G12)*(1+N('Min gæld'!$D$5)/12))</f>
        <v>0</v>
      </c>
      <c r="F13" s="27" t="n">
        <f aca="false">IF(E13&lt;=0,0,MIN(E13,N('Min gæld'!$E$5)+D13))</f>
        <v>0</v>
      </c>
      <c r="G13" s="27" t="n">
        <f aca="false">IF(E13-F13&lt;0.005,0,E13-F13)</f>
        <v>0</v>
      </c>
      <c r="H13" s="27" t="n">
        <f aca="false">MAX(0,IF(N(G12)&lt;=0.005,D13,D13+N('Min gæld'!$E$5)-F13))</f>
        <v>1400</v>
      </c>
      <c r="I13" s="27" t="n">
        <f aca="false">IF(N(K12)&lt;=0.005,0,N(K12)*(1+N('Min gæld'!$D$6)/12))</f>
        <v>30157.5685164521</v>
      </c>
      <c r="J13" s="27" t="n">
        <f aca="false">IF(I13&lt;=0,0,MIN(I13,N('Min gæld'!$E$6)+H13))</f>
        <v>2300</v>
      </c>
      <c r="K13" s="27" t="n">
        <f aca="false">IF(I13-J13&lt;0.005,0,I13-J13)</f>
        <v>27857.5685164521</v>
      </c>
      <c r="L13" s="27" t="n">
        <f aca="false">MAX(0,IF(N(K12)&lt;=0.005,H13,H13+N('Min gæld'!$E$6)-J13))</f>
        <v>0</v>
      </c>
      <c r="M13" s="27" t="n">
        <f aca="false">IF(N(O12)&lt;=0.005,0,N(O12)*(1+N('Min gæld'!$D$7)/12))</f>
        <v>75333.9944551897</v>
      </c>
      <c r="N13" s="27" t="n">
        <f aca="false">IF(M13&lt;=0,0,MIN(M13,N('Min gæld'!$E$7)+L13))</f>
        <v>1800</v>
      </c>
      <c r="O13" s="27" t="n">
        <f aca="false">IF(M13-N13&lt;0.005,0,M13-N13)</f>
        <v>73533.9944551897</v>
      </c>
      <c r="P13" s="27" t="n">
        <f aca="false">MAX(0,IF(N(O12)&lt;=0.005,L13,L13+N('Min gæld'!$E$7)-N13))</f>
        <v>0</v>
      </c>
      <c r="Q13" s="27" t="n">
        <f aca="false">IF(N(S12)&lt;=0.005,0,N(S12)*(1+N('Min gæld'!$D$8)/12))</f>
        <v>56653.0209224634</v>
      </c>
      <c r="R13" s="27" t="n">
        <f aca="false">IF(Q13&lt;=0,0,MIN(Q13,N('Min gæld'!$E$8)+P13))</f>
        <v>700</v>
      </c>
      <c r="S13" s="27" t="n">
        <f aca="false">IF(Q13-R13&lt;0.005,0,Q13-R13)</f>
        <v>55953.0209224634</v>
      </c>
      <c r="T13" s="27" t="n">
        <f aca="false">MAX(0,IF(N(S12)&lt;=0.005,P13,P13+N('Min gæld'!$E$8)-R13))</f>
        <v>0</v>
      </c>
      <c r="U13" s="27" t="n">
        <f aca="false">IF(N(W12)&lt;=0.005,0,N(W12)*(1+N('Min gæld'!$D$9)/12))</f>
        <v>0</v>
      </c>
      <c r="V13" s="27" t="n">
        <f aca="false">IF(U13&lt;=0,0,MIN(U13,N('Min gæld'!$E$9)+T13))</f>
        <v>0</v>
      </c>
      <c r="W13" s="27" t="n">
        <f aca="false">IF(U13-V13&lt;0.005,0,U13-V13)</f>
        <v>0</v>
      </c>
      <c r="X13" s="27" t="n">
        <f aca="false">MAX(0,IF(N(W12)&lt;=0.005,T13,T13+N('Min gæld'!$E$9)-V13))</f>
        <v>0</v>
      </c>
      <c r="Y13" s="27" t="n">
        <f aca="false">IF(N(AA12)&lt;=0.005,0,N(AA12)*(1+N('Min gæld'!$D$10)/12))</f>
        <v>0</v>
      </c>
      <c r="Z13" s="27" t="n">
        <f aca="false">IF(Y13&lt;=0,0,MIN(Y13,N('Min gæld'!$E$10)+X13))</f>
        <v>0</v>
      </c>
      <c r="AA13" s="27" t="n">
        <f aca="false">IF(Y13-Z13&lt;0.005,0,Y13-Z13)</f>
        <v>0</v>
      </c>
      <c r="AB13" s="27" t="n">
        <f aca="false">MAX(0,IF(N(AA12)&lt;=0.005,X13,X13+N('Min gæld'!$E$10)-Z13))</f>
        <v>0</v>
      </c>
      <c r="AC13" s="27" t="n">
        <f aca="false">IF(N(AE12)&lt;=0.005,0,N(AE12)*(1+N('Min gæld'!$D$11)/12))</f>
        <v>0</v>
      </c>
      <c r="AD13" s="27" t="n">
        <f aca="false">IF(AC13&lt;=0,0,MIN(AC13,N('Min gæld'!$E$11)+AB13))</f>
        <v>0</v>
      </c>
      <c r="AE13" s="27" t="n">
        <f aca="false">IF(AC13-AD13&lt;0.005,0,AC13-AD13)</f>
        <v>0</v>
      </c>
      <c r="AF13" s="27" t="n">
        <f aca="false">MAX(0,IF(N(AE12)&lt;=0.005,AB13,AB13+N('Min gæld'!$E$11)-AD13))</f>
        <v>0</v>
      </c>
      <c r="AG13" s="27" t="n">
        <f aca="false">IF(N(AI12)&lt;=0.005,0,N(AI12)*(1+N('Min gæld'!$D$12)/12))</f>
        <v>0</v>
      </c>
      <c r="AH13" s="27" t="n">
        <f aca="false">IF(AG13&lt;=0,0,MIN(AG13,N('Min gæld'!$E$12)+AF13))</f>
        <v>0</v>
      </c>
      <c r="AI13" s="27" t="n">
        <f aca="false">IF(AG13-AH13&lt;0.005,0,AG13-AH13)</f>
        <v>0</v>
      </c>
      <c r="AJ13" s="27" t="n">
        <f aca="false">G13+K13+O13+S13+W13+AA13+AE13+AI13</f>
        <v>157344.583894105</v>
      </c>
      <c r="AK13" s="28" t="n">
        <f aca="false">IF(E13&gt;0,E13-N(G12),0)+IF(I13&gt;0,I13-N(K12),0)+IF(M13&gt;0,M13-N(O12),0)+IF(Q13&gt;0,Q13-N(S12),0)+IF(U13&gt;0,U13-N(W12),0)+IF(Y13&gt;0,Y13-N(AA12),0)+IF(AC13&gt;0,AC13-N(AE12),0)+IF(AG13&gt;0,AG13-N(AI12),0)</f>
        <v>778.68564357678</v>
      </c>
    </row>
    <row r="14" customFormat="false" ht="15" hidden="false" customHeight="false" outlineLevel="0" collapsed="false">
      <c r="A14" s="25" t="n">
        <v>9</v>
      </c>
      <c r="B14" s="26" t="n">
        <f aca="false">EDATE('Min gæld'!$C$16,8)</f>
        <v>46631</v>
      </c>
      <c r="C14" s="27" t="n">
        <f aca="false">N('Min gæld'!$C$15)+IF(N(G13)&lt;=0.005,N('Min gæld'!$E$5),0)+IF(N(K13)&lt;=0.005,N('Min gæld'!$E$6),0)+IF(N(O13)&lt;=0.005,N('Min gæld'!$E$7),0)+IF(N(S13)&lt;=0.005,N('Min gæld'!$E$8),0)+IF(N(W13)&lt;=0.005,N('Min gæld'!$E$9),0)+IF(N(AA13)&lt;=0.005,N('Min gæld'!$E$10),0)+IF(N(AE13)&lt;=0.005,N('Min gæld'!$E$11),0)+IF(N(AI13)&lt;=0.005,N('Min gæld'!$E$12),0)</f>
        <v>1400</v>
      </c>
      <c r="D14" s="27" t="n">
        <f aca="false">MAX(0,C14)</f>
        <v>1400</v>
      </c>
      <c r="E14" s="27" t="n">
        <f aca="false">IF(N(G13)&lt;=0.005,0,N(G13)*(1+N('Min gæld'!$D$5)/12))</f>
        <v>0</v>
      </c>
      <c r="F14" s="27" t="n">
        <f aca="false">IF(E14&lt;=0,0,MIN(E14,N('Min gæld'!$E$5)+D14))</f>
        <v>0</v>
      </c>
      <c r="G14" s="27" t="n">
        <f aca="false">IF(E14-F14&lt;0.005,0,E14-F14)</f>
        <v>0</v>
      </c>
      <c r="H14" s="27" t="n">
        <f aca="false">MAX(0,IF(N(G13)&lt;=0.005,D14,D14+N('Min gæld'!$E$5)-F14))</f>
        <v>1400</v>
      </c>
      <c r="I14" s="27" t="n">
        <f aca="false">IF(N(K13)&lt;=0.005,0,N(K13)*(1+N('Min gæld'!$D$6)/12))</f>
        <v>28087.3934567128</v>
      </c>
      <c r="J14" s="27" t="n">
        <f aca="false">IF(I14&lt;=0,0,MIN(I14,N('Min gæld'!$E$6)+H14))</f>
        <v>2300</v>
      </c>
      <c r="K14" s="27" t="n">
        <f aca="false">IF(I14-J14&lt;0.005,0,I14-J14)</f>
        <v>25787.3934567128</v>
      </c>
      <c r="L14" s="27" t="n">
        <f aca="false">MAX(0,IF(N(K13)&lt;=0.005,H14,H14+N('Min gæld'!$E$6)-J14))</f>
        <v>0</v>
      </c>
      <c r="M14" s="27" t="n">
        <f aca="false">IF(N(O13)&lt;=0.005,0,N(O13)*(1+N('Min gæld'!$D$7)/12))</f>
        <v>73871.0252631094</v>
      </c>
      <c r="N14" s="27" t="n">
        <f aca="false">IF(M14&lt;=0,0,MIN(M14,N('Min gæld'!$E$7)+L14))</f>
        <v>1800</v>
      </c>
      <c r="O14" s="27" t="n">
        <f aca="false">IF(M14-N14&lt;0.005,0,M14-N14)</f>
        <v>72071.0252631094</v>
      </c>
      <c r="P14" s="27" t="n">
        <f aca="false">MAX(0,IF(N(O13)&lt;=0.005,L14,L14+N('Min gæld'!$E$7)-N14))</f>
        <v>0</v>
      </c>
      <c r="Q14" s="27" t="n">
        <f aca="false">IF(N(S13)&lt;=0.005,0,N(S13)*(1+N('Min gæld'!$D$8)/12))</f>
        <v>56139.530992205</v>
      </c>
      <c r="R14" s="27" t="n">
        <f aca="false">IF(Q14&lt;=0,0,MIN(Q14,N('Min gæld'!$E$8)+P14))</f>
        <v>700</v>
      </c>
      <c r="S14" s="27" t="n">
        <f aca="false">IF(Q14-R14&lt;0.005,0,Q14-R14)</f>
        <v>55439.530992205</v>
      </c>
      <c r="T14" s="27" t="n">
        <f aca="false">MAX(0,IF(N(S13)&lt;=0.005,P14,P14+N('Min gæld'!$E$8)-R14))</f>
        <v>0</v>
      </c>
      <c r="U14" s="27" t="n">
        <f aca="false">IF(N(W13)&lt;=0.005,0,N(W13)*(1+N('Min gæld'!$D$9)/12))</f>
        <v>0</v>
      </c>
      <c r="V14" s="27" t="n">
        <f aca="false">IF(U14&lt;=0,0,MIN(U14,N('Min gæld'!$E$9)+T14))</f>
        <v>0</v>
      </c>
      <c r="W14" s="27" t="n">
        <f aca="false">IF(U14-V14&lt;0.005,0,U14-V14)</f>
        <v>0</v>
      </c>
      <c r="X14" s="27" t="n">
        <f aca="false">MAX(0,IF(N(W13)&lt;=0.005,T14,T14+N('Min gæld'!$E$9)-V14))</f>
        <v>0</v>
      </c>
      <c r="Y14" s="27" t="n">
        <f aca="false">IF(N(AA13)&lt;=0.005,0,N(AA13)*(1+N('Min gæld'!$D$10)/12))</f>
        <v>0</v>
      </c>
      <c r="Z14" s="27" t="n">
        <f aca="false">IF(Y14&lt;=0,0,MIN(Y14,N('Min gæld'!$E$10)+X14))</f>
        <v>0</v>
      </c>
      <c r="AA14" s="27" t="n">
        <f aca="false">IF(Y14-Z14&lt;0.005,0,Y14-Z14)</f>
        <v>0</v>
      </c>
      <c r="AB14" s="27" t="n">
        <f aca="false">MAX(0,IF(N(AA13)&lt;=0.005,X14,X14+N('Min gæld'!$E$10)-Z14))</f>
        <v>0</v>
      </c>
      <c r="AC14" s="27" t="n">
        <f aca="false">IF(N(AE13)&lt;=0.005,0,N(AE13)*(1+N('Min gæld'!$D$11)/12))</f>
        <v>0</v>
      </c>
      <c r="AD14" s="27" t="n">
        <f aca="false">IF(AC14&lt;=0,0,MIN(AC14,N('Min gæld'!$E$11)+AB14))</f>
        <v>0</v>
      </c>
      <c r="AE14" s="27" t="n">
        <f aca="false">IF(AC14-AD14&lt;0.005,0,AC14-AD14)</f>
        <v>0</v>
      </c>
      <c r="AF14" s="27" t="n">
        <f aca="false">MAX(0,IF(N(AE13)&lt;=0.005,AB14,AB14+N('Min gæld'!$E$11)-AD14))</f>
        <v>0</v>
      </c>
      <c r="AG14" s="27" t="n">
        <f aca="false">IF(N(AI13)&lt;=0.005,0,N(AI13)*(1+N('Min gæld'!$D$12)/12))</f>
        <v>0</v>
      </c>
      <c r="AH14" s="27" t="n">
        <f aca="false">IF(AG14&lt;=0,0,MIN(AG14,N('Min gæld'!$E$12)+AF14))</f>
        <v>0</v>
      </c>
      <c r="AI14" s="27" t="n">
        <f aca="false">IF(AG14-AH14&lt;0.005,0,AG14-AH14)</f>
        <v>0</v>
      </c>
      <c r="AJ14" s="27" t="n">
        <f aca="false">G14+K14+O14+S14+W14+AA14+AE14+AI14</f>
        <v>153297.949712027</v>
      </c>
      <c r="AK14" s="28" t="n">
        <f aca="false">IF(E14&gt;0,E14-N(G13),0)+IF(I14&gt;0,I14-N(K13),0)+IF(M14&gt;0,M14-N(O13),0)+IF(Q14&gt;0,Q14-N(S13),0)+IF(U14&gt;0,U14-N(W13),0)+IF(Y14&gt;0,Y14-N(AA13),0)+IF(AC14&gt;0,AC14-N(AE13),0)+IF(AG14&gt;0,AG14-N(AI13),0)</f>
        <v>753.365817921906</v>
      </c>
    </row>
    <row r="15" customFormat="false" ht="15" hidden="false" customHeight="false" outlineLevel="0" collapsed="false">
      <c r="A15" s="25" t="n">
        <v>10</v>
      </c>
      <c r="B15" s="26" t="n">
        <f aca="false">EDATE('Min gæld'!$C$16,9)</f>
        <v>46661</v>
      </c>
      <c r="C15" s="27" t="n">
        <f aca="false">N('Min gæld'!$C$15)+IF(N(G14)&lt;=0.005,N('Min gæld'!$E$5),0)+IF(N(K14)&lt;=0.005,N('Min gæld'!$E$6),0)+IF(N(O14)&lt;=0.005,N('Min gæld'!$E$7),0)+IF(N(S14)&lt;=0.005,N('Min gæld'!$E$8),0)+IF(N(W14)&lt;=0.005,N('Min gæld'!$E$9),0)+IF(N(AA14)&lt;=0.005,N('Min gæld'!$E$10),0)+IF(N(AE14)&lt;=0.005,N('Min gæld'!$E$11),0)+IF(N(AI14)&lt;=0.005,N('Min gæld'!$E$12),0)</f>
        <v>1400</v>
      </c>
      <c r="D15" s="27" t="n">
        <f aca="false">MAX(0,C15)</f>
        <v>1400</v>
      </c>
      <c r="E15" s="27" t="n">
        <f aca="false">IF(N(G14)&lt;=0.005,0,N(G14)*(1+N('Min gæld'!$D$5)/12))</f>
        <v>0</v>
      </c>
      <c r="F15" s="27" t="n">
        <f aca="false">IF(E15&lt;=0,0,MIN(E15,N('Min gæld'!$E$5)+D15))</f>
        <v>0</v>
      </c>
      <c r="G15" s="27" t="n">
        <f aca="false">IF(E15-F15&lt;0.005,0,E15-F15)</f>
        <v>0</v>
      </c>
      <c r="H15" s="27" t="n">
        <f aca="false">MAX(0,IF(N(G14)&lt;=0.005,D15,D15+N('Min gæld'!$E$5)-F15))</f>
        <v>1400</v>
      </c>
      <c r="I15" s="27" t="n">
        <f aca="false">IF(N(K14)&lt;=0.005,0,N(K14)*(1+N('Min gæld'!$D$6)/12))</f>
        <v>26000.1394527307</v>
      </c>
      <c r="J15" s="27" t="n">
        <f aca="false">IF(I15&lt;=0,0,MIN(I15,N('Min gæld'!$E$6)+H15))</f>
        <v>2300</v>
      </c>
      <c r="K15" s="27" t="n">
        <f aca="false">IF(I15-J15&lt;0.005,0,I15-J15)</f>
        <v>23700.1394527307</v>
      </c>
      <c r="L15" s="27" t="n">
        <f aca="false">MAX(0,IF(N(K14)&lt;=0.005,H15,H15+N('Min gæld'!$E$6)-J15))</f>
        <v>0</v>
      </c>
      <c r="M15" s="27" t="n">
        <f aca="false">IF(N(O14)&lt;=0.005,0,N(O14)*(1+N('Min gæld'!$D$7)/12))</f>
        <v>72401.3507955653</v>
      </c>
      <c r="N15" s="27" t="n">
        <f aca="false">IF(M15&lt;=0,0,MIN(M15,N('Min gæld'!$E$7)+L15))</f>
        <v>1800</v>
      </c>
      <c r="O15" s="27" t="n">
        <f aca="false">IF(M15-N15&lt;0.005,0,M15-N15)</f>
        <v>70601.3507955653</v>
      </c>
      <c r="P15" s="27" t="n">
        <f aca="false">MAX(0,IF(N(O14)&lt;=0.005,L15,L15+N('Min gæld'!$E$7)-N15))</f>
        <v>0</v>
      </c>
      <c r="Q15" s="27" t="n">
        <f aca="false">IF(N(S14)&lt;=0.005,0,N(S14)*(1+N('Min gæld'!$D$8)/12))</f>
        <v>55624.3294288456</v>
      </c>
      <c r="R15" s="27" t="n">
        <f aca="false">IF(Q15&lt;=0,0,MIN(Q15,N('Min gæld'!$E$8)+P15))</f>
        <v>700</v>
      </c>
      <c r="S15" s="27" t="n">
        <f aca="false">IF(Q15-R15&lt;0.005,0,Q15-R15)</f>
        <v>54924.3294288456</v>
      </c>
      <c r="T15" s="27" t="n">
        <f aca="false">MAX(0,IF(N(S14)&lt;=0.005,P15,P15+N('Min gæld'!$E$8)-R15))</f>
        <v>0</v>
      </c>
      <c r="U15" s="27" t="n">
        <f aca="false">IF(N(W14)&lt;=0.005,0,N(W14)*(1+N('Min gæld'!$D$9)/12))</f>
        <v>0</v>
      </c>
      <c r="V15" s="27" t="n">
        <f aca="false">IF(U15&lt;=0,0,MIN(U15,N('Min gæld'!$E$9)+T15))</f>
        <v>0</v>
      </c>
      <c r="W15" s="27" t="n">
        <f aca="false">IF(U15-V15&lt;0.005,0,U15-V15)</f>
        <v>0</v>
      </c>
      <c r="X15" s="27" t="n">
        <f aca="false">MAX(0,IF(N(W14)&lt;=0.005,T15,T15+N('Min gæld'!$E$9)-V15))</f>
        <v>0</v>
      </c>
      <c r="Y15" s="27" t="n">
        <f aca="false">IF(N(AA14)&lt;=0.005,0,N(AA14)*(1+N('Min gæld'!$D$10)/12))</f>
        <v>0</v>
      </c>
      <c r="Z15" s="27" t="n">
        <f aca="false">IF(Y15&lt;=0,0,MIN(Y15,N('Min gæld'!$E$10)+X15))</f>
        <v>0</v>
      </c>
      <c r="AA15" s="27" t="n">
        <f aca="false">IF(Y15-Z15&lt;0.005,0,Y15-Z15)</f>
        <v>0</v>
      </c>
      <c r="AB15" s="27" t="n">
        <f aca="false">MAX(0,IF(N(AA14)&lt;=0.005,X15,X15+N('Min gæld'!$E$10)-Z15))</f>
        <v>0</v>
      </c>
      <c r="AC15" s="27" t="n">
        <f aca="false">IF(N(AE14)&lt;=0.005,0,N(AE14)*(1+N('Min gæld'!$D$11)/12))</f>
        <v>0</v>
      </c>
      <c r="AD15" s="27" t="n">
        <f aca="false">IF(AC15&lt;=0,0,MIN(AC15,N('Min gæld'!$E$11)+AB15))</f>
        <v>0</v>
      </c>
      <c r="AE15" s="27" t="n">
        <f aca="false">IF(AC15-AD15&lt;0.005,0,AC15-AD15)</f>
        <v>0</v>
      </c>
      <c r="AF15" s="27" t="n">
        <f aca="false">MAX(0,IF(N(AE14)&lt;=0.005,AB15,AB15+N('Min gæld'!$E$11)-AD15))</f>
        <v>0</v>
      </c>
      <c r="AG15" s="27" t="n">
        <f aca="false">IF(N(AI14)&lt;=0.005,0,N(AI14)*(1+N('Min gæld'!$D$12)/12))</f>
        <v>0</v>
      </c>
      <c r="AH15" s="27" t="n">
        <f aca="false">IF(AG15&lt;=0,0,MIN(AG15,N('Min gæld'!$E$12)+AF15))</f>
        <v>0</v>
      </c>
      <c r="AI15" s="27" t="n">
        <f aca="false">IF(AG15-AH15&lt;0.005,0,AG15-AH15)</f>
        <v>0</v>
      </c>
      <c r="AJ15" s="27" t="n">
        <f aca="false">G15+K15+O15+S15+W15+AA15+AE15+AI15</f>
        <v>149225.819677142</v>
      </c>
      <c r="AK15" s="28" t="n">
        <f aca="false">IF(E15&gt;0,E15-N(G14),0)+IF(I15&gt;0,I15-N(K14),0)+IF(M15&gt;0,M15-N(O14),0)+IF(Q15&gt;0,Q15-N(S14),0)+IF(U15&gt;0,U15-N(W14),0)+IF(Y15&gt;0,Y15-N(AA14),0)+IF(AC15&gt;0,AC15-N(AE14),0)+IF(AG15&gt;0,AG15-N(AI14),0)</f>
        <v>727.8699651145</v>
      </c>
    </row>
    <row r="16" customFormat="false" ht="15" hidden="false" customHeight="false" outlineLevel="0" collapsed="false">
      <c r="A16" s="25" t="n">
        <v>11</v>
      </c>
      <c r="B16" s="26" t="n">
        <f aca="false">EDATE('Min gæld'!$C$16,10)</f>
        <v>46692</v>
      </c>
      <c r="C16" s="27" t="n">
        <f aca="false">N('Min gæld'!$C$15)+IF(N(G15)&lt;=0.005,N('Min gæld'!$E$5),0)+IF(N(K15)&lt;=0.005,N('Min gæld'!$E$6),0)+IF(N(O15)&lt;=0.005,N('Min gæld'!$E$7),0)+IF(N(S15)&lt;=0.005,N('Min gæld'!$E$8),0)+IF(N(W15)&lt;=0.005,N('Min gæld'!$E$9),0)+IF(N(AA15)&lt;=0.005,N('Min gæld'!$E$10),0)+IF(N(AE15)&lt;=0.005,N('Min gæld'!$E$11),0)+IF(N(AI15)&lt;=0.005,N('Min gæld'!$E$12),0)</f>
        <v>1400</v>
      </c>
      <c r="D16" s="27" t="n">
        <f aca="false">MAX(0,C16)</f>
        <v>1400</v>
      </c>
      <c r="E16" s="27" t="n">
        <f aca="false">IF(N(G15)&lt;=0.005,0,N(G15)*(1+N('Min gæld'!$D$5)/12))</f>
        <v>0</v>
      </c>
      <c r="F16" s="27" t="n">
        <f aca="false">IF(E16&lt;=0,0,MIN(E16,N('Min gæld'!$E$5)+D16))</f>
        <v>0</v>
      </c>
      <c r="G16" s="27" t="n">
        <f aca="false">IF(E16-F16&lt;0.005,0,E16-F16)</f>
        <v>0</v>
      </c>
      <c r="H16" s="27" t="n">
        <f aca="false">MAX(0,IF(N(G15)&lt;=0.005,D16,D16+N('Min gæld'!$E$5)-F16))</f>
        <v>1400</v>
      </c>
      <c r="I16" s="27" t="n">
        <f aca="false">IF(N(K15)&lt;=0.005,0,N(K15)*(1+N('Min gæld'!$D$6)/12))</f>
        <v>23895.6656032158</v>
      </c>
      <c r="J16" s="27" t="n">
        <f aca="false">IF(I16&lt;=0,0,MIN(I16,N('Min gæld'!$E$6)+H16))</f>
        <v>2300</v>
      </c>
      <c r="K16" s="27" t="n">
        <f aca="false">IF(I16-J16&lt;0.005,0,I16-J16)</f>
        <v>21595.6656032158</v>
      </c>
      <c r="L16" s="27" t="n">
        <f aca="false">MAX(0,IF(N(K15)&lt;=0.005,H16,H16+N('Min gæld'!$E$6)-J16))</f>
        <v>0</v>
      </c>
      <c r="M16" s="27" t="n">
        <f aca="false">IF(N(O15)&lt;=0.005,0,N(O15)*(1+N('Min gæld'!$D$7)/12))</f>
        <v>70924.940320045</v>
      </c>
      <c r="N16" s="27" t="n">
        <f aca="false">IF(M16&lt;=0,0,MIN(M16,N('Min gæld'!$E$7)+L16))</f>
        <v>1800</v>
      </c>
      <c r="O16" s="27" t="n">
        <f aca="false">IF(M16-N16&lt;0.005,0,M16-N16)</f>
        <v>69124.940320045</v>
      </c>
      <c r="P16" s="27" t="n">
        <f aca="false">MAX(0,IF(N(O15)&lt;=0.005,L16,L16+N('Min gæld'!$E$7)-N16))</f>
        <v>0</v>
      </c>
      <c r="Q16" s="27" t="n">
        <f aca="false">IF(N(S15)&lt;=0.005,0,N(S15)*(1+N('Min gæld'!$D$8)/12))</f>
        <v>55107.4105269418</v>
      </c>
      <c r="R16" s="27" t="n">
        <f aca="false">IF(Q16&lt;=0,0,MIN(Q16,N('Min gæld'!$E$8)+P16))</f>
        <v>700</v>
      </c>
      <c r="S16" s="27" t="n">
        <f aca="false">IF(Q16-R16&lt;0.005,0,Q16-R16)</f>
        <v>54407.4105269418</v>
      </c>
      <c r="T16" s="27" t="n">
        <f aca="false">MAX(0,IF(N(S15)&lt;=0.005,P16,P16+N('Min gæld'!$E$8)-R16))</f>
        <v>0</v>
      </c>
      <c r="U16" s="27" t="n">
        <f aca="false">IF(N(W15)&lt;=0.005,0,N(W15)*(1+N('Min gæld'!$D$9)/12))</f>
        <v>0</v>
      </c>
      <c r="V16" s="27" t="n">
        <f aca="false">IF(U16&lt;=0,0,MIN(U16,N('Min gæld'!$E$9)+T16))</f>
        <v>0</v>
      </c>
      <c r="W16" s="27" t="n">
        <f aca="false">IF(U16-V16&lt;0.005,0,U16-V16)</f>
        <v>0</v>
      </c>
      <c r="X16" s="27" t="n">
        <f aca="false">MAX(0,IF(N(W15)&lt;=0.005,T16,T16+N('Min gæld'!$E$9)-V16))</f>
        <v>0</v>
      </c>
      <c r="Y16" s="27" t="n">
        <f aca="false">IF(N(AA15)&lt;=0.005,0,N(AA15)*(1+N('Min gæld'!$D$10)/12))</f>
        <v>0</v>
      </c>
      <c r="Z16" s="27" t="n">
        <f aca="false">IF(Y16&lt;=0,0,MIN(Y16,N('Min gæld'!$E$10)+X16))</f>
        <v>0</v>
      </c>
      <c r="AA16" s="27" t="n">
        <f aca="false">IF(Y16-Z16&lt;0.005,0,Y16-Z16)</f>
        <v>0</v>
      </c>
      <c r="AB16" s="27" t="n">
        <f aca="false">MAX(0,IF(N(AA15)&lt;=0.005,X16,X16+N('Min gæld'!$E$10)-Z16))</f>
        <v>0</v>
      </c>
      <c r="AC16" s="27" t="n">
        <f aca="false">IF(N(AE15)&lt;=0.005,0,N(AE15)*(1+N('Min gæld'!$D$11)/12))</f>
        <v>0</v>
      </c>
      <c r="AD16" s="27" t="n">
        <f aca="false">IF(AC16&lt;=0,0,MIN(AC16,N('Min gæld'!$E$11)+AB16))</f>
        <v>0</v>
      </c>
      <c r="AE16" s="27" t="n">
        <f aca="false">IF(AC16-AD16&lt;0.005,0,AC16-AD16)</f>
        <v>0</v>
      </c>
      <c r="AF16" s="27" t="n">
        <f aca="false">MAX(0,IF(N(AE15)&lt;=0.005,AB16,AB16+N('Min gæld'!$E$11)-AD16))</f>
        <v>0</v>
      </c>
      <c r="AG16" s="27" t="n">
        <f aca="false">IF(N(AI15)&lt;=0.005,0,N(AI15)*(1+N('Min gæld'!$D$12)/12))</f>
        <v>0</v>
      </c>
      <c r="AH16" s="27" t="n">
        <f aca="false">IF(AG16&lt;=0,0,MIN(AG16,N('Min gæld'!$E$12)+AF16))</f>
        <v>0</v>
      </c>
      <c r="AI16" s="27" t="n">
        <f aca="false">IF(AG16-AH16&lt;0.005,0,AG16-AH16)</f>
        <v>0</v>
      </c>
      <c r="AJ16" s="27" t="n">
        <f aca="false">G16+K16+O16+S16+W16+AA16+AE16+AI16</f>
        <v>145128.016450203</v>
      </c>
      <c r="AK16" s="28" t="n">
        <f aca="false">IF(E16&gt;0,E16-N(G15),0)+IF(I16&gt;0,I16-N(K15),0)+IF(M16&gt;0,M16-N(O15),0)+IF(Q16&gt;0,Q16-N(S15),0)+IF(U16&gt;0,U16-N(W15),0)+IF(Y16&gt;0,Y16-N(AA15),0)+IF(AC16&gt;0,AC16-N(AE15),0)+IF(AG16&gt;0,AG16-N(AI15),0)</f>
        <v>702.19677306087</v>
      </c>
    </row>
    <row r="17" customFormat="false" ht="15" hidden="false" customHeight="false" outlineLevel="0" collapsed="false">
      <c r="A17" s="25" t="n">
        <v>12</v>
      </c>
      <c r="B17" s="26" t="n">
        <f aca="false">EDATE('Min gæld'!$C$16,11)</f>
        <v>46722</v>
      </c>
      <c r="C17" s="27" t="n">
        <f aca="false">N('Min gæld'!$C$15)+IF(N(G16)&lt;=0.005,N('Min gæld'!$E$5),0)+IF(N(K16)&lt;=0.005,N('Min gæld'!$E$6),0)+IF(N(O16)&lt;=0.005,N('Min gæld'!$E$7),0)+IF(N(S16)&lt;=0.005,N('Min gæld'!$E$8),0)+IF(N(W16)&lt;=0.005,N('Min gæld'!$E$9),0)+IF(N(AA16)&lt;=0.005,N('Min gæld'!$E$10),0)+IF(N(AE16)&lt;=0.005,N('Min gæld'!$E$11),0)+IF(N(AI16)&lt;=0.005,N('Min gæld'!$E$12),0)</f>
        <v>1400</v>
      </c>
      <c r="D17" s="27" t="n">
        <f aca="false">MAX(0,C17)</f>
        <v>1400</v>
      </c>
      <c r="E17" s="27" t="n">
        <f aca="false">IF(N(G16)&lt;=0.005,0,N(G16)*(1+N('Min gæld'!$D$5)/12))</f>
        <v>0</v>
      </c>
      <c r="F17" s="27" t="n">
        <f aca="false">IF(E17&lt;=0,0,MIN(E17,N('Min gæld'!$E$5)+D17))</f>
        <v>0</v>
      </c>
      <c r="G17" s="27" t="n">
        <f aca="false">IF(E17-F17&lt;0.005,0,E17-F17)</f>
        <v>0</v>
      </c>
      <c r="H17" s="27" t="n">
        <f aca="false">MAX(0,IF(N(G16)&lt;=0.005,D17,D17+N('Min gæld'!$E$5)-F17))</f>
        <v>1400</v>
      </c>
      <c r="I17" s="27" t="n">
        <f aca="false">IF(N(K16)&lt;=0.005,0,N(K16)*(1+N('Min gæld'!$D$6)/12))</f>
        <v>21773.8298444423</v>
      </c>
      <c r="J17" s="27" t="n">
        <f aca="false">IF(I17&lt;=0,0,MIN(I17,N('Min gæld'!$E$6)+H17))</f>
        <v>2300</v>
      </c>
      <c r="K17" s="27" t="n">
        <f aca="false">IF(I17-J17&lt;0.005,0,I17-J17)</f>
        <v>19473.8298444423</v>
      </c>
      <c r="L17" s="27" t="n">
        <f aca="false">MAX(0,IF(N(K16)&lt;=0.005,H17,H17+N('Min gæld'!$E$6)-J17))</f>
        <v>0</v>
      </c>
      <c r="M17" s="27" t="n">
        <f aca="false">IF(N(O16)&lt;=0.005,0,N(O16)*(1+N('Min gæld'!$D$7)/12))</f>
        <v>69441.7629631785</v>
      </c>
      <c r="N17" s="27" t="n">
        <f aca="false">IF(M17&lt;=0,0,MIN(M17,N('Min gæld'!$E$7)+L17))</f>
        <v>1800</v>
      </c>
      <c r="O17" s="27" t="n">
        <f aca="false">IF(M17-N17&lt;0.005,0,M17-N17)</f>
        <v>67641.7629631785</v>
      </c>
      <c r="P17" s="27" t="n">
        <f aca="false">MAX(0,IF(N(O16)&lt;=0.005,L17,L17+N('Min gæld'!$E$7)-N17))</f>
        <v>0</v>
      </c>
      <c r="Q17" s="27" t="n">
        <f aca="false">IF(N(S16)&lt;=0.005,0,N(S16)*(1+N('Min gæld'!$D$8)/12))</f>
        <v>54588.7685620316</v>
      </c>
      <c r="R17" s="27" t="n">
        <f aca="false">IF(Q17&lt;=0,0,MIN(Q17,N('Min gæld'!$E$8)+P17))</f>
        <v>700</v>
      </c>
      <c r="S17" s="27" t="n">
        <f aca="false">IF(Q17-R17&lt;0.005,0,Q17-R17)</f>
        <v>53888.7685620316</v>
      </c>
      <c r="T17" s="27" t="n">
        <f aca="false">MAX(0,IF(N(S16)&lt;=0.005,P17,P17+N('Min gæld'!$E$8)-R17))</f>
        <v>0</v>
      </c>
      <c r="U17" s="27" t="n">
        <f aca="false">IF(N(W16)&lt;=0.005,0,N(W16)*(1+N('Min gæld'!$D$9)/12))</f>
        <v>0</v>
      </c>
      <c r="V17" s="27" t="n">
        <f aca="false">IF(U17&lt;=0,0,MIN(U17,N('Min gæld'!$E$9)+T17))</f>
        <v>0</v>
      </c>
      <c r="W17" s="27" t="n">
        <f aca="false">IF(U17-V17&lt;0.005,0,U17-V17)</f>
        <v>0</v>
      </c>
      <c r="X17" s="27" t="n">
        <f aca="false">MAX(0,IF(N(W16)&lt;=0.005,T17,T17+N('Min gæld'!$E$9)-V17))</f>
        <v>0</v>
      </c>
      <c r="Y17" s="27" t="n">
        <f aca="false">IF(N(AA16)&lt;=0.005,0,N(AA16)*(1+N('Min gæld'!$D$10)/12))</f>
        <v>0</v>
      </c>
      <c r="Z17" s="27" t="n">
        <f aca="false">IF(Y17&lt;=0,0,MIN(Y17,N('Min gæld'!$E$10)+X17))</f>
        <v>0</v>
      </c>
      <c r="AA17" s="27" t="n">
        <f aca="false">IF(Y17-Z17&lt;0.005,0,Y17-Z17)</f>
        <v>0</v>
      </c>
      <c r="AB17" s="27" t="n">
        <f aca="false">MAX(0,IF(N(AA16)&lt;=0.005,X17,X17+N('Min gæld'!$E$10)-Z17))</f>
        <v>0</v>
      </c>
      <c r="AC17" s="27" t="n">
        <f aca="false">IF(N(AE16)&lt;=0.005,0,N(AE16)*(1+N('Min gæld'!$D$11)/12))</f>
        <v>0</v>
      </c>
      <c r="AD17" s="27" t="n">
        <f aca="false">IF(AC17&lt;=0,0,MIN(AC17,N('Min gæld'!$E$11)+AB17))</f>
        <v>0</v>
      </c>
      <c r="AE17" s="27" t="n">
        <f aca="false">IF(AC17-AD17&lt;0.005,0,AC17-AD17)</f>
        <v>0</v>
      </c>
      <c r="AF17" s="27" t="n">
        <f aca="false">MAX(0,IF(N(AE16)&lt;=0.005,AB17,AB17+N('Min gæld'!$E$11)-AD17))</f>
        <v>0</v>
      </c>
      <c r="AG17" s="27" t="n">
        <f aca="false">IF(N(AI16)&lt;=0.005,0,N(AI16)*(1+N('Min gæld'!$D$12)/12))</f>
        <v>0</v>
      </c>
      <c r="AH17" s="27" t="n">
        <f aca="false">IF(AG17&lt;=0,0,MIN(AG17,N('Min gæld'!$E$12)+AF17))</f>
        <v>0</v>
      </c>
      <c r="AI17" s="27" t="n">
        <f aca="false">IF(AG17-AH17&lt;0.005,0,AG17-AH17)</f>
        <v>0</v>
      </c>
      <c r="AJ17" s="27" t="n">
        <f aca="false">G17+K17+O17+S17+W17+AA17+AE17+AI17</f>
        <v>141004.361369652</v>
      </c>
      <c r="AK17" s="28" t="n">
        <f aca="false">IF(E17&gt;0,E17-N(G16),0)+IF(I17&gt;0,I17-N(K16),0)+IF(M17&gt;0,M17-N(O16),0)+IF(Q17&gt;0,Q17-N(S16),0)+IF(U17&gt;0,U17-N(W16),0)+IF(Y17&gt;0,Y17-N(AA16),0)+IF(AC17&gt;0,AC17-N(AE16),0)+IF(AG17&gt;0,AG17-N(AI16),0)</f>
        <v>676.344919449894</v>
      </c>
    </row>
    <row r="18" customFormat="false" ht="15" hidden="false" customHeight="false" outlineLevel="0" collapsed="false">
      <c r="A18" s="25" t="n">
        <v>13</v>
      </c>
      <c r="B18" s="26" t="n">
        <f aca="false">EDATE('Min gæld'!$C$16,12)</f>
        <v>46753</v>
      </c>
      <c r="C18" s="27" t="n">
        <f aca="false">N('Min gæld'!$C$15)+IF(N(G17)&lt;=0.005,N('Min gæld'!$E$5),0)+IF(N(K17)&lt;=0.005,N('Min gæld'!$E$6),0)+IF(N(O17)&lt;=0.005,N('Min gæld'!$E$7),0)+IF(N(S17)&lt;=0.005,N('Min gæld'!$E$8),0)+IF(N(W17)&lt;=0.005,N('Min gæld'!$E$9),0)+IF(N(AA17)&lt;=0.005,N('Min gæld'!$E$10),0)+IF(N(AE17)&lt;=0.005,N('Min gæld'!$E$11),0)+IF(N(AI17)&lt;=0.005,N('Min gæld'!$E$12),0)</f>
        <v>1400</v>
      </c>
      <c r="D18" s="27" t="n">
        <f aca="false">MAX(0,C18)</f>
        <v>1400</v>
      </c>
      <c r="E18" s="27" t="n">
        <f aca="false">IF(N(G17)&lt;=0.005,0,N(G17)*(1+N('Min gæld'!$D$5)/12))</f>
        <v>0</v>
      </c>
      <c r="F18" s="27" t="n">
        <f aca="false">IF(E18&lt;=0,0,MIN(E18,N('Min gæld'!$E$5)+D18))</f>
        <v>0</v>
      </c>
      <c r="G18" s="27" t="n">
        <f aca="false">IF(E18-F18&lt;0.005,0,E18-F18)</f>
        <v>0</v>
      </c>
      <c r="H18" s="27" t="n">
        <f aca="false">MAX(0,IF(N(G17)&lt;=0.005,D18,D18+N('Min gæld'!$E$5)-F18))</f>
        <v>1400</v>
      </c>
      <c r="I18" s="27" t="n">
        <f aca="false">IF(N(K17)&lt;=0.005,0,N(K17)*(1+N('Min gæld'!$D$6)/12))</f>
        <v>19634.4889406589</v>
      </c>
      <c r="J18" s="27" t="n">
        <f aca="false">IF(I18&lt;=0,0,MIN(I18,N('Min gæld'!$E$6)+H18))</f>
        <v>2300</v>
      </c>
      <c r="K18" s="27" t="n">
        <f aca="false">IF(I18-J18&lt;0.005,0,I18-J18)</f>
        <v>17334.4889406589</v>
      </c>
      <c r="L18" s="27" t="n">
        <f aca="false">MAX(0,IF(N(K17)&lt;=0.005,H18,H18+N('Min gæld'!$E$6)-J18))</f>
        <v>0</v>
      </c>
      <c r="M18" s="27" t="n">
        <f aca="false">IF(N(O17)&lt;=0.005,0,N(O17)*(1+N('Min gæld'!$D$7)/12))</f>
        <v>67951.7877100931</v>
      </c>
      <c r="N18" s="27" t="n">
        <f aca="false">IF(M18&lt;=0,0,MIN(M18,N('Min gæld'!$E$7)+L18))</f>
        <v>1800</v>
      </c>
      <c r="O18" s="27" t="n">
        <f aca="false">IF(M18-N18&lt;0.005,0,M18-N18)</f>
        <v>66151.7877100931</v>
      </c>
      <c r="P18" s="27" t="n">
        <f aca="false">MAX(0,IF(N(O17)&lt;=0.005,L18,L18+N('Min gæld'!$E$7)-N18))</f>
        <v>0</v>
      </c>
      <c r="Q18" s="27" t="n">
        <f aca="false">IF(N(S17)&lt;=0.005,0,N(S17)*(1+N('Min gæld'!$D$8)/12))</f>
        <v>54068.3977905717</v>
      </c>
      <c r="R18" s="27" t="n">
        <f aca="false">IF(Q18&lt;=0,0,MIN(Q18,N('Min gæld'!$E$8)+P18))</f>
        <v>700</v>
      </c>
      <c r="S18" s="27" t="n">
        <f aca="false">IF(Q18-R18&lt;0.005,0,Q18-R18)</f>
        <v>53368.3977905717</v>
      </c>
      <c r="T18" s="27" t="n">
        <f aca="false">MAX(0,IF(N(S17)&lt;=0.005,P18,P18+N('Min gæld'!$E$8)-R18))</f>
        <v>0</v>
      </c>
      <c r="U18" s="27" t="n">
        <f aca="false">IF(N(W17)&lt;=0.005,0,N(W17)*(1+N('Min gæld'!$D$9)/12))</f>
        <v>0</v>
      </c>
      <c r="V18" s="27" t="n">
        <f aca="false">IF(U18&lt;=0,0,MIN(U18,N('Min gæld'!$E$9)+T18))</f>
        <v>0</v>
      </c>
      <c r="W18" s="27" t="n">
        <f aca="false">IF(U18-V18&lt;0.005,0,U18-V18)</f>
        <v>0</v>
      </c>
      <c r="X18" s="27" t="n">
        <f aca="false">MAX(0,IF(N(W17)&lt;=0.005,T18,T18+N('Min gæld'!$E$9)-V18))</f>
        <v>0</v>
      </c>
      <c r="Y18" s="27" t="n">
        <f aca="false">IF(N(AA17)&lt;=0.005,0,N(AA17)*(1+N('Min gæld'!$D$10)/12))</f>
        <v>0</v>
      </c>
      <c r="Z18" s="27" t="n">
        <f aca="false">IF(Y18&lt;=0,0,MIN(Y18,N('Min gæld'!$E$10)+X18))</f>
        <v>0</v>
      </c>
      <c r="AA18" s="27" t="n">
        <f aca="false">IF(Y18-Z18&lt;0.005,0,Y18-Z18)</f>
        <v>0</v>
      </c>
      <c r="AB18" s="27" t="n">
        <f aca="false">MAX(0,IF(N(AA17)&lt;=0.005,X18,X18+N('Min gæld'!$E$10)-Z18))</f>
        <v>0</v>
      </c>
      <c r="AC18" s="27" t="n">
        <f aca="false">IF(N(AE17)&lt;=0.005,0,N(AE17)*(1+N('Min gæld'!$D$11)/12))</f>
        <v>0</v>
      </c>
      <c r="AD18" s="27" t="n">
        <f aca="false">IF(AC18&lt;=0,0,MIN(AC18,N('Min gæld'!$E$11)+AB18))</f>
        <v>0</v>
      </c>
      <c r="AE18" s="27" t="n">
        <f aca="false">IF(AC18-AD18&lt;0.005,0,AC18-AD18)</f>
        <v>0</v>
      </c>
      <c r="AF18" s="27" t="n">
        <f aca="false">MAX(0,IF(N(AE17)&lt;=0.005,AB18,AB18+N('Min gæld'!$E$11)-AD18))</f>
        <v>0</v>
      </c>
      <c r="AG18" s="27" t="n">
        <f aca="false">IF(N(AI17)&lt;=0.005,0,N(AI17)*(1+N('Min gæld'!$D$12)/12))</f>
        <v>0</v>
      </c>
      <c r="AH18" s="27" t="n">
        <f aca="false">IF(AG18&lt;=0,0,MIN(AG18,N('Min gæld'!$E$12)+AF18))</f>
        <v>0</v>
      </c>
      <c r="AI18" s="27" t="n">
        <f aca="false">IF(AG18-AH18&lt;0.005,0,AG18-AH18)</f>
        <v>0</v>
      </c>
      <c r="AJ18" s="27" t="n">
        <f aca="false">G18+K18+O18+S18+W18+AA18+AE18+AI18</f>
        <v>136854.674441324</v>
      </c>
      <c r="AK18" s="28" t="n">
        <f aca="false">IF(E18&gt;0,E18-N(G17),0)+IF(I18&gt;0,I18-N(K17),0)+IF(M18&gt;0,M18-N(O17),0)+IF(Q18&gt;0,Q18-N(S17),0)+IF(U18&gt;0,U18-N(W17),0)+IF(Y18&gt;0,Y18-N(AA17),0)+IF(AC18&gt;0,AC18-N(AE17),0)+IF(AG18&gt;0,AG18-N(AI17),0)</f>
        <v>650.313071671328</v>
      </c>
    </row>
    <row r="19" customFormat="false" ht="15" hidden="false" customHeight="false" outlineLevel="0" collapsed="false">
      <c r="A19" s="25" t="n">
        <v>14</v>
      </c>
      <c r="B19" s="26" t="n">
        <f aca="false">EDATE('Min gæld'!$C$16,13)</f>
        <v>46784</v>
      </c>
      <c r="C19" s="27" t="n">
        <f aca="false">N('Min gæld'!$C$15)+IF(N(G18)&lt;=0.005,N('Min gæld'!$E$5),0)+IF(N(K18)&lt;=0.005,N('Min gæld'!$E$6),0)+IF(N(O18)&lt;=0.005,N('Min gæld'!$E$7),0)+IF(N(S18)&lt;=0.005,N('Min gæld'!$E$8),0)+IF(N(W18)&lt;=0.005,N('Min gæld'!$E$9),0)+IF(N(AA18)&lt;=0.005,N('Min gæld'!$E$10),0)+IF(N(AE18)&lt;=0.005,N('Min gæld'!$E$11),0)+IF(N(AI18)&lt;=0.005,N('Min gæld'!$E$12),0)</f>
        <v>1400</v>
      </c>
      <c r="D19" s="27" t="n">
        <f aca="false">MAX(0,C19)</f>
        <v>1400</v>
      </c>
      <c r="E19" s="27" t="n">
        <f aca="false">IF(N(G18)&lt;=0.005,0,N(G18)*(1+N('Min gæld'!$D$5)/12))</f>
        <v>0</v>
      </c>
      <c r="F19" s="27" t="n">
        <f aca="false">IF(E19&lt;=0,0,MIN(E19,N('Min gæld'!$E$5)+D19))</f>
        <v>0</v>
      </c>
      <c r="G19" s="27" t="n">
        <f aca="false">IF(E19-F19&lt;0.005,0,E19-F19)</f>
        <v>0</v>
      </c>
      <c r="H19" s="27" t="n">
        <f aca="false">MAX(0,IF(N(G18)&lt;=0.005,D19,D19+N('Min gæld'!$E$5)-F19))</f>
        <v>1400</v>
      </c>
      <c r="I19" s="27" t="n">
        <f aca="false">IF(N(K18)&lt;=0.005,0,N(K18)*(1+N('Min gæld'!$D$6)/12))</f>
        <v>17477.4984744194</v>
      </c>
      <c r="J19" s="27" t="n">
        <f aca="false">IF(I19&lt;=0,0,MIN(I19,N('Min gæld'!$E$6)+H19))</f>
        <v>2300</v>
      </c>
      <c r="K19" s="27" t="n">
        <f aca="false">IF(I19-J19&lt;0.005,0,I19-J19)</f>
        <v>15177.4984744194</v>
      </c>
      <c r="L19" s="27" t="n">
        <f aca="false">MAX(0,IF(N(K18)&lt;=0.005,H19,H19+N('Min gæld'!$E$6)-J19))</f>
        <v>0</v>
      </c>
      <c r="M19" s="27" t="n">
        <f aca="false">IF(N(O18)&lt;=0.005,0,N(O18)*(1+N('Min gæld'!$D$7)/12))</f>
        <v>66454.9834037643</v>
      </c>
      <c r="N19" s="27" t="n">
        <f aca="false">IF(M19&lt;=0,0,MIN(M19,N('Min gæld'!$E$7)+L19))</f>
        <v>1800</v>
      </c>
      <c r="O19" s="27" t="n">
        <f aca="false">IF(M19-N19&lt;0.005,0,M19-N19)</f>
        <v>64654.9834037643</v>
      </c>
      <c r="P19" s="27" t="n">
        <f aca="false">MAX(0,IF(N(O18)&lt;=0.005,L19,L19+N('Min gæld'!$E$7)-N19))</f>
        <v>0</v>
      </c>
      <c r="Q19" s="27" t="n">
        <f aca="false">IF(N(S18)&lt;=0.005,0,N(S18)*(1+N('Min gæld'!$D$8)/12))</f>
        <v>53546.2924498736</v>
      </c>
      <c r="R19" s="27" t="n">
        <f aca="false">IF(Q19&lt;=0,0,MIN(Q19,N('Min gæld'!$E$8)+P19))</f>
        <v>700</v>
      </c>
      <c r="S19" s="27" t="n">
        <f aca="false">IF(Q19-R19&lt;0.005,0,Q19-R19)</f>
        <v>52846.2924498736</v>
      </c>
      <c r="T19" s="27" t="n">
        <f aca="false">MAX(0,IF(N(S18)&lt;=0.005,P19,P19+N('Min gæld'!$E$8)-R19))</f>
        <v>0</v>
      </c>
      <c r="U19" s="27" t="n">
        <f aca="false">IF(N(W18)&lt;=0.005,0,N(W18)*(1+N('Min gæld'!$D$9)/12))</f>
        <v>0</v>
      </c>
      <c r="V19" s="27" t="n">
        <f aca="false">IF(U19&lt;=0,0,MIN(U19,N('Min gæld'!$E$9)+T19))</f>
        <v>0</v>
      </c>
      <c r="W19" s="27" t="n">
        <f aca="false">IF(U19-V19&lt;0.005,0,U19-V19)</f>
        <v>0</v>
      </c>
      <c r="X19" s="27" t="n">
        <f aca="false">MAX(0,IF(N(W18)&lt;=0.005,T19,T19+N('Min gæld'!$E$9)-V19))</f>
        <v>0</v>
      </c>
      <c r="Y19" s="27" t="n">
        <f aca="false">IF(N(AA18)&lt;=0.005,0,N(AA18)*(1+N('Min gæld'!$D$10)/12))</f>
        <v>0</v>
      </c>
      <c r="Z19" s="27" t="n">
        <f aca="false">IF(Y19&lt;=0,0,MIN(Y19,N('Min gæld'!$E$10)+X19))</f>
        <v>0</v>
      </c>
      <c r="AA19" s="27" t="n">
        <f aca="false">IF(Y19-Z19&lt;0.005,0,Y19-Z19)</f>
        <v>0</v>
      </c>
      <c r="AB19" s="27" t="n">
        <f aca="false">MAX(0,IF(N(AA18)&lt;=0.005,X19,X19+N('Min gæld'!$E$10)-Z19))</f>
        <v>0</v>
      </c>
      <c r="AC19" s="27" t="n">
        <f aca="false">IF(N(AE18)&lt;=0.005,0,N(AE18)*(1+N('Min gæld'!$D$11)/12))</f>
        <v>0</v>
      </c>
      <c r="AD19" s="27" t="n">
        <f aca="false">IF(AC19&lt;=0,0,MIN(AC19,N('Min gæld'!$E$11)+AB19))</f>
        <v>0</v>
      </c>
      <c r="AE19" s="27" t="n">
        <f aca="false">IF(AC19-AD19&lt;0.005,0,AC19-AD19)</f>
        <v>0</v>
      </c>
      <c r="AF19" s="27" t="n">
        <f aca="false">MAX(0,IF(N(AE18)&lt;=0.005,AB19,AB19+N('Min gæld'!$E$11)-AD19))</f>
        <v>0</v>
      </c>
      <c r="AG19" s="27" t="n">
        <f aca="false">IF(N(AI18)&lt;=0.005,0,N(AI18)*(1+N('Min gæld'!$D$12)/12))</f>
        <v>0</v>
      </c>
      <c r="AH19" s="27" t="n">
        <f aca="false">IF(AG19&lt;=0,0,MIN(AG19,N('Min gæld'!$E$12)+AF19))</f>
        <v>0</v>
      </c>
      <c r="AI19" s="27" t="n">
        <f aca="false">IF(AG19-AH19&lt;0.005,0,AG19-AH19)</f>
        <v>0</v>
      </c>
      <c r="AJ19" s="27" t="n">
        <f aca="false">G19+K19+O19+S19+W19+AA19+AE19+AI19</f>
        <v>132678.774328057</v>
      </c>
      <c r="AK19" s="28" t="n">
        <f aca="false">IF(E19&gt;0,E19-N(G18),0)+IF(I19&gt;0,I19-N(K18),0)+IF(M19&gt;0,M19-N(O18),0)+IF(Q19&gt;0,Q19-N(S18),0)+IF(U19&gt;0,U19-N(W18),0)+IF(Y19&gt;0,Y19-N(AA18),0)+IF(AC19&gt;0,AC19-N(AE18),0)+IF(AG19&gt;0,AG19-N(AI18),0)</f>
        <v>624.099886733609</v>
      </c>
    </row>
    <row r="20" customFormat="false" ht="15" hidden="false" customHeight="false" outlineLevel="0" collapsed="false">
      <c r="A20" s="25" t="n">
        <v>15</v>
      </c>
      <c r="B20" s="26" t="n">
        <f aca="false">EDATE('Min gæld'!$C$16,14)</f>
        <v>46813</v>
      </c>
      <c r="C20" s="27" t="n">
        <f aca="false">N('Min gæld'!$C$15)+IF(N(G19)&lt;=0.005,N('Min gæld'!$E$5),0)+IF(N(K19)&lt;=0.005,N('Min gæld'!$E$6),0)+IF(N(O19)&lt;=0.005,N('Min gæld'!$E$7),0)+IF(N(S19)&lt;=0.005,N('Min gæld'!$E$8),0)+IF(N(W19)&lt;=0.005,N('Min gæld'!$E$9),0)+IF(N(AA19)&lt;=0.005,N('Min gæld'!$E$10),0)+IF(N(AE19)&lt;=0.005,N('Min gæld'!$E$11),0)+IF(N(AI19)&lt;=0.005,N('Min gæld'!$E$12),0)</f>
        <v>1400</v>
      </c>
      <c r="D20" s="27" t="n">
        <f aca="false">MAX(0,C20)</f>
        <v>1400</v>
      </c>
      <c r="E20" s="27" t="n">
        <f aca="false">IF(N(G19)&lt;=0.005,0,N(G19)*(1+N('Min gæld'!$D$5)/12))</f>
        <v>0</v>
      </c>
      <c r="F20" s="27" t="n">
        <f aca="false">IF(E20&lt;=0,0,MIN(E20,N('Min gæld'!$E$5)+D20))</f>
        <v>0</v>
      </c>
      <c r="G20" s="27" t="n">
        <f aca="false">IF(E20-F20&lt;0.005,0,E20-F20)</f>
        <v>0</v>
      </c>
      <c r="H20" s="27" t="n">
        <f aca="false">MAX(0,IF(N(G19)&lt;=0.005,D20,D20+N('Min gæld'!$E$5)-F20))</f>
        <v>1400</v>
      </c>
      <c r="I20" s="27" t="n">
        <f aca="false">IF(N(K19)&lt;=0.005,0,N(K19)*(1+N('Min gæld'!$D$6)/12))</f>
        <v>15302.7128368333</v>
      </c>
      <c r="J20" s="27" t="n">
        <f aca="false">IF(I20&lt;=0,0,MIN(I20,N('Min gæld'!$E$6)+H20))</f>
        <v>2300</v>
      </c>
      <c r="K20" s="27" t="n">
        <f aca="false">IF(I20-J20&lt;0.005,0,I20-J20)</f>
        <v>13002.7128368333</v>
      </c>
      <c r="L20" s="27" t="n">
        <f aca="false">MAX(0,IF(N(K19)&lt;=0.005,H20,H20+N('Min gæld'!$E$6)-J20))</f>
        <v>0</v>
      </c>
      <c r="M20" s="27" t="n">
        <f aca="false">IF(N(O19)&lt;=0.005,0,N(O19)*(1+N('Min gæld'!$D$7)/12))</f>
        <v>64951.3187443649</v>
      </c>
      <c r="N20" s="27" t="n">
        <f aca="false">IF(M20&lt;=0,0,MIN(M20,N('Min gæld'!$E$7)+L20))</f>
        <v>1800</v>
      </c>
      <c r="O20" s="27" t="n">
        <f aca="false">IF(M20-N20&lt;0.005,0,M20-N20)</f>
        <v>63151.3187443649</v>
      </c>
      <c r="P20" s="27" t="n">
        <f aca="false">MAX(0,IF(N(O19)&lt;=0.005,L20,L20+N('Min gæld'!$E$7)-N20))</f>
        <v>0</v>
      </c>
      <c r="Q20" s="27" t="n">
        <f aca="false">IF(N(S19)&lt;=0.005,0,N(S19)*(1+N('Min gæld'!$D$8)/12))</f>
        <v>53022.4467580399</v>
      </c>
      <c r="R20" s="27" t="n">
        <f aca="false">IF(Q20&lt;=0,0,MIN(Q20,N('Min gæld'!$E$8)+P20))</f>
        <v>700</v>
      </c>
      <c r="S20" s="27" t="n">
        <f aca="false">IF(Q20-R20&lt;0.005,0,Q20-R20)</f>
        <v>52322.4467580399</v>
      </c>
      <c r="T20" s="27" t="n">
        <f aca="false">MAX(0,IF(N(S19)&lt;=0.005,P20,P20+N('Min gæld'!$E$8)-R20))</f>
        <v>0</v>
      </c>
      <c r="U20" s="27" t="n">
        <f aca="false">IF(N(W19)&lt;=0.005,0,N(W19)*(1+N('Min gæld'!$D$9)/12))</f>
        <v>0</v>
      </c>
      <c r="V20" s="27" t="n">
        <f aca="false">IF(U20&lt;=0,0,MIN(U20,N('Min gæld'!$E$9)+T20))</f>
        <v>0</v>
      </c>
      <c r="W20" s="27" t="n">
        <f aca="false">IF(U20-V20&lt;0.005,0,U20-V20)</f>
        <v>0</v>
      </c>
      <c r="X20" s="27" t="n">
        <f aca="false">MAX(0,IF(N(W19)&lt;=0.005,T20,T20+N('Min gæld'!$E$9)-V20))</f>
        <v>0</v>
      </c>
      <c r="Y20" s="27" t="n">
        <f aca="false">IF(N(AA19)&lt;=0.005,0,N(AA19)*(1+N('Min gæld'!$D$10)/12))</f>
        <v>0</v>
      </c>
      <c r="Z20" s="27" t="n">
        <f aca="false">IF(Y20&lt;=0,0,MIN(Y20,N('Min gæld'!$E$10)+X20))</f>
        <v>0</v>
      </c>
      <c r="AA20" s="27" t="n">
        <f aca="false">IF(Y20-Z20&lt;0.005,0,Y20-Z20)</f>
        <v>0</v>
      </c>
      <c r="AB20" s="27" t="n">
        <f aca="false">MAX(0,IF(N(AA19)&lt;=0.005,X20,X20+N('Min gæld'!$E$10)-Z20))</f>
        <v>0</v>
      </c>
      <c r="AC20" s="27" t="n">
        <f aca="false">IF(N(AE19)&lt;=0.005,0,N(AE19)*(1+N('Min gæld'!$D$11)/12))</f>
        <v>0</v>
      </c>
      <c r="AD20" s="27" t="n">
        <f aca="false">IF(AC20&lt;=0,0,MIN(AC20,N('Min gæld'!$E$11)+AB20))</f>
        <v>0</v>
      </c>
      <c r="AE20" s="27" t="n">
        <f aca="false">IF(AC20-AD20&lt;0.005,0,AC20-AD20)</f>
        <v>0</v>
      </c>
      <c r="AF20" s="27" t="n">
        <f aca="false">MAX(0,IF(N(AE19)&lt;=0.005,AB20,AB20+N('Min gæld'!$E$11)-AD20))</f>
        <v>0</v>
      </c>
      <c r="AG20" s="27" t="n">
        <f aca="false">IF(N(AI19)&lt;=0.005,0,N(AI19)*(1+N('Min gæld'!$D$12)/12))</f>
        <v>0</v>
      </c>
      <c r="AH20" s="27" t="n">
        <f aca="false">IF(AG20&lt;=0,0,MIN(AG20,N('Min gæld'!$E$12)+AF20))</f>
        <v>0</v>
      </c>
      <c r="AI20" s="27" t="n">
        <f aca="false">IF(AG20-AH20&lt;0.005,0,AG20-AH20)</f>
        <v>0</v>
      </c>
      <c r="AJ20" s="27" t="n">
        <f aca="false">G20+K20+O20+S20+W20+AA20+AE20+AI20</f>
        <v>128476.478339238</v>
      </c>
      <c r="AK20" s="28" t="n">
        <f aca="false">IF(E20&gt;0,E20-N(G19),0)+IF(I20&gt;0,I20-N(K19),0)+IF(M20&gt;0,M20-N(O19),0)+IF(Q20&gt;0,Q20-N(S19),0)+IF(U20&gt;0,U20-N(W19),0)+IF(Y20&gt;0,Y20-N(AA19),0)+IF(AC20&gt;0,AC20-N(AE19),0)+IF(AG20&gt;0,AG20-N(AI19),0)</f>
        <v>597.704011180806</v>
      </c>
    </row>
    <row r="21" customFormat="false" ht="15" hidden="false" customHeight="false" outlineLevel="0" collapsed="false">
      <c r="A21" s="25" t="n">
        <v>16</v>
      </c>
      <c r="B21" s="26" t="n">
        <f aca="false">EDATE('Min gæld'!$C$16,15)</f>
        <v>46844</v>
      </c>
      <c r="C21" s="27" t="n">
        <f aca="false">N('Min gæld'!$C$15)+IF(N(G20)&lt;=0.005,N('Min gæld'!$E$5),0)+IF(N(K20)&lt;=0.005,N('Min gæld'!$E$6),0)+IF(N(O20)&lt;=0.005,N('Min gæld'!$E$7),0)+IF(N(S20)&lt;=0.005,N('Min gæld'!$E$8),0)+IF(N(W20)&lt;=0.005,N('Min gæld'!$E$9),0)+IF(N(AA20)&lt;=0.005,N('Min gæld'!$E$10),0)+IF(N(AE20)&lt;=0.005,N('Min gæld'!$E$11),0)+IF(N(AI20)&lt;=0.005,N('Min gæld'!$E$12),0)</f>
        <v>1400</v>
      </c>
      <c r="D21" s="27" t="n">
        <f aca="false">MAX(0,C21)</f>
        <v>1400</v>
      </c>
      <c r="E21" s="27" t="n">
        <f aca="false">IF(N(G20)&lt;=0.005,0,N(G20)*(1+N('Min gæld'!$D$5)/12))</f>
        <v>0</v>
      </c>
      <c r="F21" s="27" t="n">
        <f aca="false">IF(E21&lt;=0,0,MIN(E21,N('Min gæld'!$E$5)+D21))</f>
        <v>0</v>
      </c>
      <c r="G21" s="27" t="n">
        <f aca="false">IF(E21-F21&lt;0.005,0,E21-F21)</f>
        <v>0</v>
      </c>
      <c r="H21" s="27" t="n">
        <f aca="false">MAX(0,IF(N(G20)&lt;=0.005,D21,D21+N('Min gæld'!$E$5)-F21))</f>
        <v>1400</v>
      </c>
      <c r="I21" s="27" t="n">
        <f aca="false">IF(N(K20)&lt;=0.005,0,N(K20)*(1+N('Min gæld'!$D$6)/12))</f>
        <v>13109.9852177372</v>
      </c>
      <c r="J21" s="27" t="n">
        <f aca="false">IF(I21&lt;=0,0,MIN(I21,N('Min gæld'!$E$6)+H21))</f>
        <v>2300</v>
      </c>
      <c r="K21" s="27" t="n">
        <f aca="false">IF(I21-J21&lt;0.005,0,I21-J21)</f>
        <v>10809.9852177372</v>
      </c>
      <c r="L21" s="27" t="n">
        <f aca="false">MAX(0,IF(N(K20)&lt;=0.005,H21,H21+N('Min gæld'!$E$6)-J21))</f>
        <v>0</v>
      </c>
      <c r="M21" s="27" t="n">
        <f aca="false">IF(N(O20)&lt;=0.005,0,N(O20)*(1+N('Min gæld'!$D$7)/12))</f>
        <v>63440.76228861</v>
      </c>
      <c r="N21" s="27" t="n">
        <f aca="false">IF(M21&lt;=0,0,MIN(M21,N('Min gæld'!$E$7)+L21))</f>
        <v>1800</v>
      </c>
      <c r="O21" s="27" t="n">
        <f aca="false">IF(M21-N21&lt;0.005,0,M21-N21)</f>
        <v>61640.76228861</v>
      </c>
      <c r="P21" s="27" t="n">
        <f aca="false">MAX(0,IF(N(O20)&lt;=0.005,L21,L21+N('Min gæld'!$E$7)-N21))</f>
        <v>0</v>
      </c>
      <c r="Q21" s="27" t="n">
        <f aca="false">IF(N(S20)&lt;=0.005,0,N(S20)*(1+N('Min gæld'!$D$8)/12))</f>
        <v>52496.8549139</v>
      </c>
      <c r="R21" s="27" t="n">
        <f aca="false">IF(Q21&lt;=0,0,MIN(Q21,N('Min gæld'!$E$8)+P21))</f>
        <v>700</v>
      </c>
      <c r="S21" s="27" t="n">
        <f aca="false">IF(Q21-R21&lt;0.005,0,Q21-R21)</f>
        <v>51796.8549139</v>
      </c>
      <c r="T21" s="27" t="n">
        <f aca="false">MAX(0,IF(N(S20)&lt;=0.005,P21,P21+N('Min gæld'!$E$8)-R21))</f>
        <v>0</v>
      </c>
      <c r="U21" s="27" t="n">
        <f aca="false">IF(N(W20)&lt;=0.005,0,N(W20)*(1+N('Min gæld'!$D$9)/12))</f>
        <v>0</v>
      </c>
      <c r="V21" s="27" t="n">
        <f aca="false">IF(U21&lt;=0,0,MIN(U21,N('Min gæld'!$E$9)+T21))</f>
        <v>0</v>
      </c>
      <c r="W21" s="27" t="n">
        <f aca="false">IF(U21-V21&lt;0.005,0,U21-V21)</f>
        <v>0</v>
      </c>
      <c r="X21" s="27" t="n">
        <f aca="false">MAX(0,IF(N(W20)&lt;=0.005,T21,T21+N('Min gæld'!$E$9)-V21))</f>
        <v>0</v>
      </c>
      <c r="Y21" s="27" t="n">
        <f aca="false">IF(N(AA20)&lt;=0.005,0,N(AA20)*(1+N('Min gæld'!$D$10)/12))</f>
        <v>0</v>
      </c>
      <c r="Z21" s="27" t="n">
        <f aca="false">IF(Y21&lt;=0,0,MIN(Y21,N('Min gæld'!$E$10)+X21))</f>
        <v>0</v>
      </c>
      <c r="AA21" s="27" t="n">
        <f aca="false">IF(Y21-Z21&lt;0.005,0,Y21-Z21)</f>
        <v>0</v>
      </c>
      <c r="AB21" s="27" t="n">
        <f aca="false">MAX(0,IF(N(AA20)&lt;=0.005,X21,X21+N('Min gæld'!$E$10)-Z21))</f>
        <v>0</v>
      </c>
      <c r="AC21" s="27" t="n">
        <f aca="false">IF(N(AE20)&lt;=0.005,0,N(AE20)*(1+N('Min gæld'!$D$11)/12))</f>
        <v>0</v>
      </c>
      <c r="AD21" s="27" t="n">
        <f aca="false">IF(AC21&lt;=0,0,MIN(AC21,N('Min gæld'!$E$11)+AB21))</f>
        <v>0</v>
      </c>
      <c r="AE21" s="27" t="n">
        <f aca="false">IF(AC21-AD21&lt;0.005,0,AC21-AD21)</f>
        <v>0</v>
      </c>
      <c r="AF21" s="27" t="n">
        <f aca="false">MAX(0,IF(N(AE20)&lt;=0.005,AB21,AB21+N('Min gæld'!$E$11)-AD21))</f>
        <v>0</v>
      </c>
      <c r="AG21" s="27" t="n">
        <f aca="false">IF(N(AI20)&lt;=0.005,0,N(AI20)*(1+N('Min gæld'!$D$12)/12))</f>
        <v>0</v>
      </c>
      <c r="AH21" s="27" t="n">
        <f aca="false">IF(AG21&lt;=0,0,MIN(AG21,N('Min gæld'!$E$12)+AF21))</f>
        <v>0</v>
      </c>
      <c r="AI21" s="27" t="n">
        <f aca="false">IF(AG21-AH21&lt;0.005,0,AG21-AH21)</f>
        <v>0</v>
      </c>
      <c r="AJ21" s="27" t="n">
        <f aca="false">G21+K21+O21+S21+W21+AA21+AE21+AI21</f>
        <v>124247.602420247</v>
      </c>
      <c r="AK21" s="28" t="n">
        <f aca="false">IF(E21&gt;0,E21-N(G20),0)+IF(I21&gt;0,I21-N(K20),0)+IF(M21&gt;0,M21-N(O20),0)+IF(Q21&gt;0,Q21-N(S20),0)+IF(U21&gt;0,U21-N(W20),0)+IF(Y21&gt;0,Y21-N(AA20),0)+IF(AC21&gt;0,AC21-N(AE20),0)+IF(AG21&gt;0,AG21-N(AI20),0)</f>
        <v>571.124081009028</v>
      </c>
    </row>
    <row r="22" customFormat="false" ht="15" hidden="false" customHeight="false" outlineLevel="0" collapsed="false">
      <c r="A22" s="25" t="n">
        <v>17</v>
      </c>
      <c r="B22" s="26" t="n">
        <f aca="false">EDATE('Min gæld'!$C$16,16)</f>
        <v>46874</v>
      </c>
      <c r="C22" s="27" t="n">
        <f aca="false">N('Min gæld'!$C$15)+IF(N(G21)&lt;=0.005,N('Min gæld'!$E$5),0)+IF(N(K21)&lt;=0.005,N('Min gæld'!$E$6),0)+IF(N(O21)&lt;=0.005,N('Min gæld'!$E$7),0)+IF(N(S21)&lt;=0.005,N('Min gæld'!$E$8),0)+IF(N(W21)&lt;=0.005,N('Min gæld'!$E$9),0)+IF(N(AA21)&lt;=0.005,N('Min gæld'!$E$10),0)+IF(N(AE21)&lt;=0.005,N('Min gæld'!$E$11),0)+IF(N(AI21)&lt;=0.005,N('Min gæld'!$E$12),0)</f>
        <v>1400</v>
      </c>
      <c r="D22" s="27" t="n">
        <f aca="false">MAX(0,C22)</f>
        <v>1400</v>
      </c>
      <c r="E22" s="27" t="n">
        <f aca="false">IF(N(G21)&lt;=0.005,0,N(G21)*(1+N('Min gæld'!$D$5)/12))</f>
        <v>0</v>
      </c>
      <c r="F22" s="27" t="n">
        <f aca="false">IF(E22&lt;=0,0,MIN(E22,N('Min gæld'!$E$5)+D22))</f>
        <v>0</v>
      </c>
      <c r="G22" s="27" t="n">
        <f aca="false">IF(E22-F22&lt;0.005,0,E22-F22)</f>
        <v>0</v>
      </c>
      <c r="H22" s="27" t="n">
        <f aca="false">MAX(0,IF(N(G21)&lt;=0.005,D22,D22+N('Min gæld'!$E$5)-F22))</f>
        <v>1400</v>
      </c>
      <c r="I22" s="27" t="n">
        <f aca="false">IF(N(K21)&lt;=0.005,0,N(K21)*(1+N('Min gæld'!$D$6)/12))</f>
        <v>10899.1675957835</v>
      </c>
      <c r="J22" s="27" t="n">
        <f aca="false">IF(I22&lt;=0,0,MIN(I22,N('Min gæld'!$E$6)+H22))</f>
        <v>2300</v>
      </c>
      <c r="K22" s="27" t="n">
        <f aca="false">IF(I22-J22&lt;0.005,0,I22-J22)</f>
        <v>8599.16759578354</v>
      </c>
      <c r="L22" s="27" t="n">
        <f aca="false">MAX(0,IF(N(K21)&lt;=0.005,H22,H22+N('Min gæld'!$E$6)-J22))</f>
        <v>0</v>
      </c>
      <c r="M22" s="27" t="n">
        <f aca="false">IF(N(O21)&lt;=0.005,0,N(O21)*(1+N('Min gæld'!$D$7)/12))</f>
        <v>61923.2824490994</v>
      </c>
      <c r="N22" s="27" t="n">
        <f aca="false">IF(M22&lt;=0,0,MIN(M22,N('Min gæld'!$E$7)+L22))</f>
        <v>1800</v>
      </c>
      <c r="O22" s="27" t="n">
        <f aca="false">IF(M22-N22&lt;0.005,0,M22-N22)</f>
        <v>60123.2824490994</v>
      </c>
      <c r="P22" s="27" t="n">
        <f aca="false">MAX(0,IF(N(O21)&lt;=0.005,L22,L22+N('Min gæld'!$E$7)-N22))</f>
        <v>0</v>
      </c>
      <c r="Q22" s="27" t="n">
        <f aca="false">IF(N(S21)&lt;=0.005,0,N(S21)*(1+N('Min gæld'!$D$8)/12))</f>
        <v>51969.5110969464</v>
      </c>
      <c r="R22" s="27" t="n">
        <f aca="false">IF(Q22&lt;=0,0,MIN(Q22,N('Min gæld'!$E$8)+P22))</f>
        <v>700</v>
      </c>
      <c r="S22" s="27" t="n">
        <f aca="false">IF(Q22-R22&lt;0.005,0,Q22-R22)</f>
        <v>51269.5110969464</v>
      </c>
      <c r="T22" s="27" t="n">
        <f aca="false">MAX(0,IF(N(S21)&lt;=0.005,P22,P22+N('Min gæld'!$E$8)-R22))</f>
        <v>0</v>
      </c>
      <c r="U22" s="27" t="n">
        <f aca="false">IF(N(W21)&lt;=0.005,0,N(W21)*(1+N('Min gæld'!$D$9)/12))</f>
        <v>0</v>
      </c>
      <c r="V22" s="27" t="n">
        <f aca="false">IF(U22&lt;=0,0,MIN(U22,N('Min gæld'!$E$9)+T22))</f>
        <v>0</v>
      </c>
      <c r="W22" s="27" t="n">
        <f aca="false">IF(U22-V22&lt;0.005,0,U22-V22)</f>
        <v>0</v>
      </c>
      <c r="X22" s="27" t="n">
        <f aca="false">MAX(0,IF(N(W21)&lt;=0.005,T22,T22+N('Min gæld'!$E$9)-V22))</f>
        <v>0</v>
      </c>
      <c r="Y22" s="27" t="n">
        <f aca="false">IF(N(AA21)&lt;=0.005,0,N(AA21)*(1+N('Min gæld'!$D$10)/12))</f>
        <v>0</v>
      </c>
      <c r="Z22" s="27" t="n">
        <f aca="false">IF(Y22&lt;=0,0,MIN(Y22,N('Min gæld'!$E$10)+X22))</f>
        <v>0</v>
      </c>
      <c r="AA22" s="27" t="n">
        <f aca="false">IF(Y22-Z22&lt;0.005,0,Y22-Z22)</f>
        <v>0</v>
      </c>
      <c r="AB22" s="27" t="n">
        <f aca="false">MAX(0,IF(N(AA21)&lt;=0.005,X22,X22+N('Min gæld'!$E$10)-Z22))</f>
        <v>0</v>
      </c>
      <c r="AC22" s="27" t="n">
        <f aca="false">IF(N(AE21)&lt;=0.005,0,N(AE21)*(1+N('Min gæld'!$D$11)/12))</f>
        <v>0</v>
      </c>
      <c r="AD22" s="27" t="n">
        <f aca="false">IF(AC22&lt;=0,0,MIN(AC22,N('Min gæld'!$E$11)+AB22))</f>
        <v>0</v>
      </c>
      <c r="AE22" s="27" t="n">
        <f aca="false">IF(AC22-AD22&lt;0.005,0,AC22-AD22)</f>
        <v>0</v>
      </c>
      <c r="AF22" s="27" t="n">
        <f aca="false">MAX(0,IF(N(AE21)&lt;=0.005,AB22,AB22+N('Min gæld'!$E$11)-AD22))</f>
        <v>0</v>
      </c>
      <c r="AG22" s="27" t="n">
        <f aca="false">IF(N(AI21)&lt;=0.005,0,N(AI21)*(1+N('Min gæld'!$D$12)/12))</f>
        <v>0</v>
      </c>
      <c r="AH22" s="27" t="n">
        <f aca="false">IF(AG22&lt;=0,0,MIN(AG22,N('Min gæld'!$E$12)+AF22))</f>
        <v>0</v>
      </c>
      <c r="AI22" s="27" t="n">
        <f aca="false">IF(AG22-AH22&lt;0.005,0,AG22-AH22)</f>
        <v>0</v>
      </c>
      <c r="AJ22" s="27" t="n">
        <f aca="false">G22+K22+O22+S22+W22+AA22+AE22+AI22</f>
        <v>119991.961141829</v>
      </c>
      <c r="AK22" s="28" t="n">
        <f aca="false">IF(E22&gt;0,E22-N(G21),0)+IF(I22&gt;0,I22-N(K21),0)+IF(M22&gt;0,M22-N(O21),0)+IF(Q22&gt;0,Q22-N(S21),0)+IF(U22&gt;0,U22-N(W21),0)+IF(Y22&gt;0,Y22-N(AA21),0)+IF(AC22&gt;0,AC22-N(AE21),0)+IF(AG22&gt;0,AG22-N(AI21),0)</f>
        <v>544.358721582141</v>
      </c>
    </row>
    <row r="23" customFormat="false" ht="15" hidden="false" customHeight="false" outlineLevel="0" collapsed="false">
      <c r="A23" s="25" t="n">
        <v>18</v>
      </c>
      <c r="B23" s="26" t="n">
        <f aca="false">EDATE('Min gæld'!$C$16,17)</f>
        <v>46905</v>
      </c>
      <c r="C23" s="27" t="n">
        <f aca="false">N('Min gæld'!$C$15)+IF(N(G22)&lt;=0.005,N('Min gæld'!$E$5),0)+IF(N(K22)&lt;=0.005,N('Min gæld'!$E$6),0)+IF(N(O22)&lt;=0.005,N('Min gæld'!$E$7),0)+IF(N(S22)&lt;=0.005,N('Min gæld'!$E$8),0)+IF(N(W22)&lt;=0.005,N('Min gæld'!$E$9),0)+IF(N(AA22)&lt;=0.005,N('Min gæld'!$E$10),0)+IF(N(AE22)&lt;=0.005,N('Min gæld'!$E$11),0)+IF(N(AI22)&lt;=0.005,N('Min gæld'!$E$12),0)</f>
        <v>1400</v>
      </c>
      <c r="D23" s="27" t="n">
        <f aca="false">MAX(0,C23)</f>
        <v>1400</v>
      </c>
      <c r="E23" s="27" t="n">
        <f aca="false">IF(N(G22)&lt;=0.005,0,N(G22)*(1+N('Min gæld'!$D$5)/12))</f>
        <v>0</v>
      </c>
      <c r="F23" s="27" t="n">
        <f aca="false">IF(E23&lt;=0,0,MIN(E23,N('Min gæld'!$E$5)+D23))</f>
        <v>0</v>
      </c>
      <c r="G23" s="27" t="n">
        <f aca="false">IF(E23-F23&lt;0.005,0,E23-F23)</f>
        <v>0</v>
      </c>
      <c r="H23" s="27" t="n">
        <f aca="false">MAX(0,IF(N(G22)&lt;=0.005,D23,D23+N('Min gæld'!$E$5)-F23))</f>
        <v>1400</v>
      </c>
      <c r="I23" s="27" t="n">
        <f aca="false">IF(N(K22)&lt;=0.005,0,N(K22)*(1+N('Min gæld'!$D$6)/12))</f>
        <v>8670.11072844876</v>
      </c>
      <c r="J23" s="27" t="n">
        <f aca="false">IF(I23&lt;=0,0,MIN(I23,N('Min gæld'!$E$6)+H23))</f>
        <v>2300</v>
      </c>
      <c r="K23" s="27" t="n">
        <f aca="false">IF(I23-J23&lt;0.005,0,I23-J23)</f>
        <v>6370.11072844876</v>
      </c>
      <c r="L23" s="27" t="n">
        <f aca="false">MAX(0,IF(N(K22)&lt;=0.005,H23,H23+N('Min gæld'!$E$6)-J23))</f>
        <v>0</v>
      </c>
      <c r="M23" s="27" t="n">
        <f aca="false">IF(N(O22)&lt;=0.005,0,N(O22)*(1+N('Min gæld'!$D$7)/12))</f>
        <v>60398.8474936578</v>
      </c>
      <c r="N23" s="27" t="n">
        <f aca="false">IF(M23&lt;=0,0,MIN(M23,N('Min gæld'!$E$7)+L23))</f>
        <v>1800</v>
      </c>
      <c r="O23" s="27" t="n">
        <f aca="false">IF(M23-N23&lt;0.005,0,M23-N23)</f>
        <v>58598.8474936578</v>
      </c>
      <c r="P23" s="27" t="n">
        <f aca="false">MAX(0,IF(N(O22)&lt;=0.005,L23,L23+N('Min gæld'!$E$7)-N23))</f>
        <v>0</v>
      </c>
      <c r="Q23" s="27" t="n">
        <f aca="false">IF(N(S22)&lt;=0.005,0,N(S22)*(1+N('Min gæld'!$D$8)/12))</f>
        <v>51440.4094672695</v>
      </c>
      <c r="R23" s="27" t="n">
        <f aca="false">IF(Q23&lt;=0,0,MIN(Q23,N('Min gæld'!$E$8)+P23))</f>
        <v>700</v>
      </c>
      <c r="S23" s="27" t="n">
        <f aca="false">IF(Q23-R23&lt;0.005,0,Q23-R23)</f>
        <v>50740.4094672695</v>
      </c>
      <c r="T23" s="27" t="n">
        <f aca="false">MAX(0,IF(N(S22)&lt;=0.005,P23,P23+N('Min gæld'!$E$8)-R23))</f>
        <v>0</v>
      </c>
      <c r="U23" s="27" t="n">
        <f aca="false">IF(N(W22)&lt;=0.005,0,N(W22)*(1+N('Min gæld'!$D$9)/12))</f>
        <v>0</v>
      </c>
      <c r="V23" s="27" t="n">
        <f aca="false">IF(U23&lt;=0,0,MIN(U23,N('Min gæld'!$E$9)+T23))</f>
        <v>0</v>
      </c>
      <c r="W23" s="27" t="n">
        <f aca="false">IF(U23-V23&lt;0.005,0,U23-V23)</f>
        <v>0</v>
      </c>
      <c r="X23" s="27" t="n">
        <f aca="false">MAX(0,IF(N(W22)&lt;=0.005,T23,T23+N('Min gæld'!$E$9)-V23))</f>
        <v>0</v>
      </c>
      <c r="Y23" s="27" t="n">
        <f aca="false">IF(N(AA22)&lt;=0.005,0,N(AA22)*(1+N('Min gæld'!$D$10)/12))</f>
        <v>0</v>
      </c>
      <c r="Z23" s="27" t="n">
        <f aca="false">IF(Y23&lt;=0,0,MIN(Y23,N('Min gæld'!$E$10)+X23))</f>
        <v>0</v>
      </c>
      <c r="AA23" s="27" t="n">
        <f aca="false">IF(Y23-Z23&lt;0.005,0,Y23-Z23)</f>
        <v>0</v>
      </c>
      <c r="AB23" s="27" t="n">
        <f aca="false">MAX(0,IF(N(AA22)&lt;=0.005,X23,X23+N('Min gæld'!$E$10)-Z23))</f>
        <v>0</v>
      </c>
      <c r="AC23" s="27" t="n">
        <f aca="false">IF(N(AE22)&lt;=0.005,0,N(AE22)*(1+N('Min gæld'!$D$11)/12))</f>
        <v>0</v>
      </c>
      <c r="AD23" s="27" t="n">
        <f aca="false">IF(AC23&lt;=0,0,MIN(AC23,N('Min gæld'!$E$11)+AB23))</f>
        <v>0</v>
      </c>
      <c r="AE23" s="27" t="n">
        <f aca="false">IF(AC23-AD23&lt;0.005,0,AC23-AD23)</f>
        <v>0</v>
      </c>
      <c r="AF23" s="27" t="n">
        <f aca="false">MAX(0,IF(N(AE22)&lt;=0.005,AB23,AB23+N('Min gæld'!$E$11)-AD23))</f>
        <v>0</v>
      </c>
      <c r="AG23" s="27" t="n">
        <f aca="false">IF(N(AI22)&lt;=0.005,0,N(AI22)*(1+N('Min gæld'!$D$12)/12))</f>
        <v>0</v>
      </c>
      <c r="AH23" s="27" t="n">
        <f aca="false">IF(AG23&lt;=0,0,MIN(AG23,N('Min gæld'!$E$12)+AF23))</f>
        <v>0</v>
      </c>
      <c r="AI23" s="27" t="n">
        <f aca="false">IF(AG23-AH23&lt;0.005,0,AG23-AH23)</f>
        <v>0</v>
      </c>
      <c r="AJ23" s="27" t="n">
        <f aca="false">G23+K23+O23+S23+W23+AA23+AE23+AI23</f>
        <v>115709.367689376</v>
      </c>
      <c r="AK23" s="28" t="n">
        <f aca="false">IF(E23&gt;0,E23-N(G22),0)+IF(I23&gt;0,I23-N(K22),0)+IF(M23&gt;0,M23-N(O22),0)+IF(Q23&gt;0,Q23-N(S22),0)+IF(U23&gt;0,U23-N(W22),0)+IF(Y23&gt;0,Y23-N(AA22),0)+IF(AC23&gt;0,AC23-N(AE22),0)+IF(AG23&gt;0,AG23-N(AI22),0)</f>
        <v>517.406547546747</v>
      </c>
    </row>
    <row r="24" customFormat="false" ht="15" hidden="false" customHeight="false" outlineLevel="0" collapsed="false">
      <c r="A24" s="25" t="n">
        <v>19</v>
      </c>
      <c r="B24" s="26" t="n">
        <f aca="false">EDATE('Min gæld'!$C$16,18)</f>
        <v>46935</v>
      </c>
      <c r="C24" s="27" t="n">
        <f aca="false">N('Min gæld'!$C$15)+IF(N(G23)&lt;=0.005,N('Min gæld'!$E$5),0)+IF(N(K23)&lt;=0.005,N('Min gæld'!$E$6),0)+IF(N(O23)&lt;=0.005,N('Min gæld'!$E$7),0)+IF(N(S23)&lt;=0.005,N('Min gæld'!$E$8),0)+IF(N(W23)&lt;=0.005,N('Min gæld'!$E$9),0)+IF(N(AA23)&lt;=0.005,N('Min gæld'!$E$10),0)+IF(N(AE23)&lt;=0.005,N('Min gæld'!$E$11),0)+IF(N(AI23)&lt;=0.005,N('Min gæld'!$E$12),0)</f>
        <v>1400</v>
      </c>
      <c r="D24" s="27" t="n">
        <f aca="false">MAX(0,C24)</f>
        <v>1400</v>
      </c>
      <c r="E24" s="27" t="n">
        <f aca="false">IF(N(G23)&lt;=0.005,0,N(G23)*(1+N('Min gæld'!$D$5)/12))</f>
        <v>0</v>
      </c>
      <c r="F24" s="27" t="n">
        <f aca="false">IF(E24&lt;=0,0,MIN(E24,N('Min gæld'!$E$5)+D24))</f>
        <v>0</v>
      </c>
      <c r="G24" s="27" t="n">
        <f aca="false">IF(E24-F24&lt;0.005,0,E24-F24)</f>
        <v>0</v>
      </c>
      <c r="H24" s="27" t="n">
        <f aca="false">MAX(0,IF(N(G23)&lt;=0.005,D24,D24+N('Min gæld'!$E$5)-F24))</f>
        <v>1400</v>
      </c>
      <c r="I24" s="27" t="n">
        <f aca="false">IF(N(K23)&lt;=0.005,0,N(K23)*(1+N('Min gæld'!$D$6)/12))</f>
        <v>6422.66414195846</v>
      </c>
      <c r="J24" s="27" t="n">
        <f aca="false">IF(I24&lt;=0,0,MIN(I24,N('Min gæld'!$E$6)+H24))</f>
        <v>2300</v>
      </c>
      <c r="K24" s="27" t="n">
        <f aca="false">IF(I24-J24&lt;0.005,0,I24-J24)</f>
        <v>4122.66414195846</v>
      </c>
      <c r="L24" s="27" t="n">
        <f aca="false">MAX(0,IF(N(K23)&lt;=0.005,H24,H24+N('Min gæld'!$E$6)-J24))</f>
        <v>0</v>
      </c>
      <c r="M24" s="27" t="n">
        <f aca="false">IF(N(O23)&lt;=0.005,0,N(O23)*(1+N('Min gæld'!$D$7)/12))</f>
        <v>58867.4255446704</v>
      </c>
      <c r="N24" s="27" t="n">
        <f aca="false">IF(M24&lt;=0,0,MIN(M24,N('Min gæld'!$E$7)+L24))</f>
        <v>1800</v>
      </c>
      <c r="O24" s="27" t="n">
        <f aca="false">IF(M24-N24&lt;0.005,0,M24-N24)</f>
        <v>57067.4255446704</v>
      </c>
      <c r="P24" s="27" t="n">
        <f aca="false">MAX(0,IF(N(O23)&lt;=0.005,L24,L24+N('Min gæld'!$E$7)-N24))</f>
        <v>0</v>
      </c>
      <c r="Q24" s="27" t="n">
        <f aca="false">IF(N(S23)&lt;=0.005,0,N(S23)*(1+N('Min gæld'!$D$8)/12))</f>
        <v>50909.5441654937</v>
      </c>
      <c r="R24" s="27" t="n">
        <f aca="false">IF(Q24&lt;=0,0,MIN(Q24,N('Min gæld'!$E$8)+P24))</f>
        <v>700</v>
      </c>
      <c r="S24" s="27" t="n">
        <f aca="false">IF(Q24-R24&lt;0.005,0,Q24-R24)</f>
        <v>50209.5441654937</v>
      </c>
      <c r="T24" s="27" t="n">
        <f aca="false">MAX(0,IF(N(S23)&lt;=0.005,P24,P24+N('Min gæld'!$E$8)-R24))</f>
        <v>0</v>
      </c>
      <c r="U24" s="27" t="n">
        <f aca="false">IF(N(W23)&lt;=0.005,0,N(W23)*(1+N('Min gæld'!$D$9)/12))</f>
        <v>0</v>
      </c>
      <c r="V24" s="27" t="n">
        <f aca="false">IF(U24&lt;=0,0,MIN(U24,N('Min gæld'!$E$9)+T24))</f>
        <v>0</v>
      </c>
      <c r="W24" s="27" t="n">
        <f aca="false">IF(U24-V24&lt;0.005,0,U24-V24)</f>
        <v>0</v>
      </c>
      <c r="X24" s="27" t="n">
        <f aca="false">MAX(0,IF(N(W23)&lt;=0.005,T24,T24+N('Min gæld'!$E$9)-V24))</f>
        <v>0</v>
      </c>
      <c r="Y24" s="27" t="n">
        <f aca="false">IF(N(AA23)&lt;=0.005,0,N(AA23)*(1+N('Min gæld'!$D$10)/12))</f>
        <v>0</v>
      </c>
      <c r="Z24" s="27" t="n">
        <f aca="false">IF(Y24&lt;=0,0,MIN(Y24,N('Min gæld'!$E$10)+X24))</f>
        <v>0</v>
      </c>
      <c r="AA24" s="27" t="n">
        <f aca="false">IF(Y24-Z24&lt;0.005,0,Y24-Z24)</f>
        <v>0</v>
      </c>
      <c r="AB24" s="27" t="n">
        <f aca="false">MAX(0,IF(N(AA23)&lt;=0.005,X24,X24+N('Min gæld'!$E$10)-Z24))</f>
        <v>0</v>
      </c>
      <c r="AC24" s="27" t="n">
        <f aca="false">IF(N(AE23)&lt;=0.005,0,N(AE23)*(1+N('Min gæld'!$D$11)/12))</f>
        <v>0</v>
      </c>
      <c r="AD24" s="27" t="n">
        <f aca="false">IF(AC24&lt;=0,0,MIN(AC24,N('Min gæld'!$E$11)+AB24))</f>
        <v>0</v>
      </c>
      <c r="AE24" s="27" t="n">
        <f aca="false">IF(AC24-AD24&lt;0.005,0,AC24-AD24)</f>
        <v>0</v>
      </c>
      <c r="AF24" s="27" t="n">
        <f aca="false">MAX(0,IF(N(AE23)&lt;=0.005,AB24,AB24+N('Min gæld'!$E$11)-AD24))</f>
        <v>0</v>
      </c>
      <c r="AG24" s="27" t="n">
        <f aca="false">IF(N(AI23)&lt;=0.005,0,N(AI23)*(1+N('Min gæld'!$D$12)/12))</f>
        <v>0</v>
      </c>
      <c r="AH24" s="27" t="n">
        <f aca="false">IF(AG24&lt;=0,0,MIN(AG24,N('Min gæld'!$E$12)+AF24))</f>
        <v>0</v>
      </c>
      <c r="AI24" s="27" t="n">
        <f aca="false">IF(AG24-AH24&lt;0.005,0,AG24-AH24)</f>
        <v>0</v>
      </c>
      <c r="AJ24" s="27" t="n">
        <f aca="false">G24+K24+O24+S24+W24+AA24+AE24+AI24</f>
        <v>111399.633852123</v>
      </c>
      <c r="AK24" s="28" t="n">
        <f aca="false">IF(E24&gt;0,E24-N(G23),0)+IF(I24&gt;0,I24-N(K23),0)+IF(M24&gt;0,M24-N(O23),0)+IF(Q24&gt;0,Q24-N(S23),0)+IF(U24&gt;0,U24-N(W23),0)+IF(Y24&gt;0,Y24-N(AA23),0)+IF(AC24&gt;0,AC24-N(AE23),0)+IF(AG24&gt;0,AG24-N(AI23),0)</f>
        <v>490.266162746534</v>
      </c>
    </row>
    <row r="25" customFormat="false" ht="15" hidden="false" customHeight="false" outlineLevel="0" collapsed="false">
      <c r="A25" s="25" t="n">
        <v>20</v>
      </c>
      <c r="B25" s="26" t="n">
        <f aca="false">EDATE('Min gæld'!$C$16,19)</f>
        <v>46966</v>
      </c>
      <c r="C25" s="27" t="n">
        <f aca="false">N('Min gæld'!$C$15)+IF(N(G24)&lt;=0.005,N('Min gæld'!$E$5),0)+IF(N(K24)&lt;=0.005,N('Min gæld'!$E$6),0)+IF(N(O24)&lt;=0.005,N('Min gæld'!$E$7),0)+IF(N(S24)&lt;=0.005,N('Min gæld'!$E$8),0)+IF(N(W24)&lt;=0.005,N('Min gæld'!$E$9),0)+IF(N(AA24)&lt;=0.005,N('Min gæld'!$E$10),0)+IF(N(AE24)&lt;=0.005,N('Min gæld'!$E$11),0)+IF(N(AI24)&lt;=0.005,N('Min gæld'!$E$12),0)</f>
        <v>1400</v>
      </c>
      <c r="D25" s="27" t="n">
        <f aca="false">MAX(0,C25)</f>
        <v>1400</v>
      </c>
      <c r="E25" s="27" t="n">
        <f aca="false">IF(N(G24)&lt;=0.005,0,N(G24)*(1+N('Min gæld'!$D$5)/12))</f>
        <v>0</v>
      </c>
      <c r="F25" s="27" t="n">
        <f aca="false">IF(E25&lt;=0,0,MIN(E25,N('Min gæld'!$E$5)+D25))</f>
        <v>0</v>
      </c>
      <c r="G25" s="27" t="n">
        <f aca="false">IF(E25-F25&lt;0.005,0,E25-F25)</f>
        <v>0</v>
      </c>
      <c r="H25" s="27" t="n">
        <f aca="false">MAX(0,IF(N(G24)&lt;=0.005,D25,D25+N('Min gæld'!$E$5)-F25))</f>
        <v>1400</v>
      </c>
      <c r="I25" s="27" t="n">
        <f aca="false">IF(N(K24)&lt;=0.005,0,N(K24)*(1+N('Min gæld'!$D$6)/12))</f>
        <v>4156.67612112962</v>
      </c>
      <c r="J25" s="27" t="n">
        <f aca="false">IF(I25&lt;=0,0,MIN(I25,N('Min gæld'!$E$6)+H25))</f>
        <v>2300</v>
      </c>
      <c r="K25" s="27" t="n">
        <f aca="false">IF(I25-J25&lt;0.005,0,I25-J25)</f>
        <v>1856.67612112962</v>
      </c>
      <c r="L25" s="27" t="n">
        <f aca="false">MAX(0,IF(N(K24)&lt;=0.005,H25,H25+N('Min gæld'!$E$6)-J25))</f>
        <v>0</v>
      </c>
      <c r="M25" s="27" t="n">
        <f aca="false">IF(N(O24)&lt;=0.005,0,N(O24)*(1+N('Min gæld'!$D$7)/12))</f>
        <v>57328.9845784168</v>
      </c>
      <c r="N25" s="27" t="n">
        <f aca="false">IF(M25&lt;=0,0,MIN(M25,N('Min gæld'!$E$7)+L25))</f>
        <v>1800</v>
      </c>
      <c r="O25" s="27" t="n">
        <f aca="false">IF(M25-N25&lt;0.005,0,M25-N25)</f>
        <v>55528.9845784168</v>
      </c>
      <c r="P25" s="27" t="n">
        <f aca="false">MAX(0,IF(N(O24)&lt;=0.005,L25,L25+N('Min gæld'!$E$7)-N25))</f>
        <v>0</v>
      </c>
      <c r="Q25" s="27" t="n">
        <f aca="false">IF(N(S24)&lt;=0.005,0,N(S24)*(1+N('Min gæld'!$D$8)/12))</f>
        <v>50376.9093127121</v>
      </c>
      <c r="R25" s="27" t="n">
        <f aca="false">IF(Q25&lt;=0,0,MIN(Q25,N('Min gæld'!$E$8)+P25))</f>
        <v>700</v>
      </c>
      <c r="S25" s="27" t="n">
        <f aca="false">IF(Q25-R25&lt;0.005,0,Q25-R25)</f>
        <v>49676.9093127121</v>
      </c>
      <c r="T25" s="27" t="n">
        <f aca="false">MAX(0,IF(N(S24)&lt;=0.005,P25,P25+N('Min gæld'!$E$8)-R25))</f>
        <v>0</v>
      </c>
      <c r="U25" s="27" t="n">
        <f aca="false">IF(N(W24)&lt;=0.005,0,N(W24)*(1+N('Min gæld'!$D$9)/12))</f>
        <v>0</v>
      </c>
      <c r="V25" s="27" t="n">
        <f aca="false">IF(U25&lt;=0,0,MIN(U25,N('Min gæld'!$E$9)+T25))</f>
        <v>0</v>
      </c>
      <c r="W25" s="27" t="n">
        <f aca="false">IF(U25-V25&lt;0.005,0,U25-V25)</f>
        <v>0</v>
      </c>
      <c r="X25" s="27" t="n">
        <f aca="false">MAX(0,IF(N(W24)&lt;=0.005,T25,T25+N('Min gæld'!$E$9)-V25))</f>
        <v>0</v>
      </c>
      <c r="Y25" s="27" t="n">
        <f aca="false">IF(N(AA24)&lt;=0.005,0,N(AA24)*(1+N('Min gæld'!$D$10)/12))</f>
        <v>0</v>
      </c>
      <c r="Z25" s="27" t="n">
        <f aca="false">IF(Y25&lt;=0,0,MIN(Y25,N('Min gæld'!$E$10)+X25))</f>
        <v>0</v>
      </c>
      <c r="AA25" s="27" t="n">
        <f aca="false">IF(Y25-Z25&lt;0.005,0,Y25-Z25)</f>
        <v>0</v>
      </c>
      <c r="AB25" s="27" t="n">
        <f aca="false">MAX(0,IF(N(AA24)&lt;=0.005,X25,X25+N('Min gæld'!$E$10)-Z25))</f>
        <v>0</v>
      </c>
      <c r="AC25" s="27" t="n">
        <f aca="false">IF(N(AE24)&lt;=0.005,0,N(AE24)*(1+N('Min gæld'!$D$11)/12))</f>
        <v>0</v>
      </c>
      <c r="AD25" s="27" t="n">
        <f aca="false">IF(AC25&lt;=0,0,MIN(AC25,N('Min gæld'!$E$11)+AB25))</f>
        <v>0</v>
      </c>
      <c r="AE25" s="27" t="n">
        <f aca="false">IF(AC25-AD25&lt;0.005,0,AC25-AD25)</f>
        <v>0</v>
      </c>
      <c r="AF25" s="27" t="n">
        <f aca="false">MAX(0,IF(N(AE24)&lt;=0.005,AB25,AB25+N('Min gæld'!$E$11)-AD25))</f>
        <v>0</v>
      </c>
      <c r="AG25" s="27" t="n">
        <f aca="false">IF(N(AI24)&lt;=0.005,0,N(AI24)*(1+N('Min gæld'!$D$12)/12))</f>
        <v>0</v>
      </c>
      <c r="AH25" s="27" t="n">
        <f aca="false">IF(AG25&lt;=0,0,MIN(AG25,N('Min gæld'!$E$12)+AF25))</f>
        <v>0</v>
      </c>
      <c r="AI25" s="27" t="n">
        <f aca="false">IF(AG25-AH25&lt;0.005,0,AG25-AH25)</f>
        <v>0</v>
      </c>
      <c r="AJ25" s="27" t="n">
        <f aca="false">G25+K25+O25+S25+W25+AA25+AE25+AI25</f>
        <v>107062.570012258</v>
      </c>
      <c r="AK25" s="28" t="n">
        <f aca="false">IF(E25&gt;0,E25-N(G24),0)+IF(I25&gt;0,I25-N(K24),0)+IF(M25&gt;0,M25-N(O24),0)+IF(Q25&gt;0,Q25-N(S24),0)+IF(U25&gt;0,U25-N(W24),0)+IF(Y25&gt;0,Y25-N(AA24),0)+IF(AC25&gt;0,AC25-N(AE24),0)+IF(AG25&gt;0,AG25-N(AI24),0)</f>
        <v>462.936160135886</v>
      </c>
    </row>
    <row r="26" customFormat="false" ht="15" hidden="false" customHeight="false" outlineLevel="0" collapsed="false">
      <c r="A26" s="25" t="n">
        <v>21</v>
      </c>
      <c r="B26" s="26" t="n">
        <f aca="false">EDATE('Min gæld'!$C$16,20)</f>
        <v>46997</v>
      </c>
      <c r="C26" s="27" t="n">
        <f aca="false">N('Min gæld'!$C$15)+IF(N(G25)&lt;=0.005,N('Min gæld'!$E$5),0)+IF(N(K25)&lt;=0.005,N('Min gæld'!$E$6),0)+IF(N(O25)&lt;=0.005,N('Min gæld'!$E$7),0)+IF(N(S25)&lt;=0.005,N('Min gæld'!$E$8),0)+IF(N(W25)&lt;=0.005,N('Min gæld'!$E$9),0)+IF(N(AA25)&lt;=0.005,N('Min gæld'!$E$10),0)+IF(N(AE25)&lt;=0.005,N('Min gæld'!$E$11),0)+IF(N(AI25)&lt;=0.005,N('Min gæld'!$E$12),0)</f>
        <v>1400</v>
      </c>
      <c r="D26" s="27" t="n">
        <f aca="false">MAX(0,C26)</f>
        <v>1400</v>
      </c>
      <c r="E26" s="27" t="n">
        <f aca="false">IF(N(G25)&lt;=0.005,0,N(G25)*(1+N('Min gæld'!$D$5)/12))</f>
        <v>0</v>
      </c>
      <c r="F26" s="27" t="n">
        <f aca="false">IF(E26&lt;=0,0,MIN(E26,N('Min gæld'!$E$5)+D26))</f>
        <v>0</v>
      </c>
      <c r="G26" s="27" t="n">
        <f aca="false">IF(E26-F26&lt;0.005,0,E26-F26)</f>
        <v>0</v>
      </c>
      <c r="H26" s="27" t="n">
        <f aca="false">MAX(0,IF(N(G25)&lt;=0.005,D26,D26+N('Min gæld'!$E$5)-F26))</f>
        <v>1400</v>
      </c>
      <c r="I26" s="27" t="n">
        <f aca="false">IF(N(K25)&lt;=0.005,0,N(K25)*(1+N('Min gæld'!$D$6)/12))</f>
        <v>1871.99369912894</v>
      </c>
      <c r="J26" s="27" t="n">
        <f aca="false">IF(I26&lt;=0,0,MIN(I26,N('Min gæld'!$E$6)+H26))</f>
        <v>1871.99369912894</v>
      </c>
      <c r="K26" s="27" t="n">
        <f aca="false">IF(I26-J26&lt;0.005,0,I26-J26)</f>
        <v>0</v>
      </c>
      <c r="L26" s="27" t="n">
        <f aca="false">MAX(0,IF(N(K25)&lt;=0.005,H26,H26+N('Min gæld'!$E$6)-J26))</f>
        <v>428.006300871062</v>
      </c>
      <c r="M26" s="27" t="n">
        <f aca="false">IF(N(O25)&lt;=0.005,0,N(O25)*(1+N('Min gæld'!$D$7)/12))</f>
        <v>55783.4924244012</v>
      </c>
      <c r="N26" s="27" t="n">
        <f aca="false">IF(M26&lt;=0,0,MIN(M26,N('Min gæld'!$E$7)+L26))</f>
        <v>2228.00630087106</v>
      </c>
      <c r="O26" s="27" t="n">
        <f aca="false">IF(M26-N26&lt;0.005,0,M26-N26)</f>
        <v>53555.4861235302</v>
      </c>
      <c r="P26" s="27" t="n">
        <f aca="false">MAX(0,IF(N(O25)&lt;=0.005,L26,L26+N('Min gæld'!$E$7)-N26))</f>
        <v>0</v>
      </c>
      <c r="Q26" s="27" t="n">
        <f aca="false">IF(N(S25)&lt;=0.005,0,N(S25)*(1+N('Min gæld'!$D$8)/12))</f>
        <v>49842.4990104211</v>
      </c>
      <c r="R26" s="27" t="n">
        <f aca="false">IF(Q26&lt;=0,0,MIN(Q26,N('Min gæld'!$E$8)+P26))</f>
        <v>700</v>
      </c>
      <c r="S26" s="27" t="n">
        <f aca="false">IF(Q26-R26&lt;0.005,0,Q26-R26)</f>
        <v>49142.4990104211</v>
      </c>
      <c r="T26" s="27" t="n">
        <f aca="false">MAX(0,IF(N(S25)&lt;=0.005,P26,P26+N('Min gæld'!$E$8)-R26))</f>
        <v>0</v>
      </c>
      <c r="U26" s="27" t="n">
        <f aca="false">IF(N(W25)&lt;=0.005,0,N(W25)*(1+N('Min gæld'!$D$9)/12))</f>
        <v>0</v>
      </c>
      <c r="V26" s="27" t="n">
        <f aca="false">IF(U26&lt;=0,0,MIN(U26,N('Min gæld'!$E$9)+T26))</f>
        <v>0</v>
      </c>
      <c r="W26" s="27" t="n">
        <f aca="false">IF(U26-V26&lt;0.005,0,U26-V26)</f>
        <v>0</v>
      </c>
      <c r="X26" s="27" t="n">
        <f aca="false">MAX(0,IF(N(W25)&lt;=0.005,T26,T26+N('Min gæld'!$E$9)-V26))</f>
        <v>0</v>
      </c>
      <c r="Y26" s="27" t="n">
        <f aca="false">IF(N(AA25)&lt;=0.005,0,N(AA25)*(1+N('Min gæld'!$D$10)/12))</f>
        <v>0</v>
      </c>
      <c r="Z26" s="27" t="n">
        <f aca="false">IF(Y26&lt;=0,0,MIN(Y26,N('Min gæld'!$E$10)+X26))</f>
        <v>0</v>
      </c>
      <c r="AA26" s="27" t="n">
        <f aca="false">IF(Y26-Z26&lt;0.005,0,Y26-Z26)</f>
        <v>0</v>
      </c>
      <c r="AB26" s="27" t="n">
        <f aca="false">MAX(0,IF(N(AA25)&lt;=0.005,X26,X26+N('Min gæld'!$E$10)-Z26))</f>
        <v>0</v>
      </c>
      <c r="AC26" s="27" t="n">
        <f aca="false">IF(N(AE25)&lt;=0.005,0,N(AE25)*(1+N('Min gæld'!$D$11)/12))</f>
        <v>0</v>
      </c>
      <c r="AD26" s="27" t="n">
        <f aca="false">IF(AC26&lt;=0,0,MIN(AC26,N('Min gæld'!$E$11)+AB26))</f>
        <v>0</v>
      </c>
      <c r="AE26" s="27" t="n">
        <f aca="false">IF(AC26-AD26&lt;0.005,0,AC26-AD26)</f>
        <v>0</v>
      </c>
      <c r="AF26" s="27" t="n">
        <f aca="false">MAX(0,IF(N(AE25)&lt;=0.005,AB26,AB26+N('Min gæld'!$E$11)-AD26))</f>
        <v>0</v>
      </c>
      <c r="AG26" s="27" t="n">
        <f aca="false">IF(N(AI25)&lt;=0.005,0,N(AI25)*(1+N('Min gæld'!$D$12)/12))</f>
        <v>0</v>
      </c>
      <c r="AH26" s="27" t="n">
        <f aca="false">IF(AG26&lt;=0,0,MIN(AG26,N('Min gæld'!$E$12)+AF26))</f>
        <v>0</v>
      </c>
      <c r="AI26" s="27" t="n">
        <f aca="false">IF(AG26-AH26&lt;0.005,0,AG26-AH26)</f>
        <v>0</v>
      </c>
      <c r="AJ26" s="27" t="n">
        <f aca="false">G26+K26+O26+S26+W26+AA26+AE26+AI26</f>
        <v>102697.985133951</v>
      </c>
      <c r="AK26" s="28" t="n">
        <f aca="false">IF(E26&gt;0,E26-N(G25),0)+IF(I26&gt;0,I26-N(K25),0)+IF(M26&gt;0,M26-N(O25),0)+IF(Q26&gt;0,Q26-N(S25),0)+IF(U26&gt;0,U26-N(W25),0)+IF(Y26&gt;0,Y26-N(AA25),0)+IF(AC26&gt;0,AC26-N(AE25),0)+IF(AG26&gt;0,AG26-N(AI25),0)</f>
        <v>435.41512169278</v>
      </c>
    </row>
    <row r="27" customFormat="false" ht="15" hidden="false" customHeight="false" outlineLevel="0" collapsed="false">
      <c r="A27" s="25" t="n">
        <v>22</v>
      </c>
      <c r="B27" s="26" t="n">
        <f aca="false">EDATE('Min gæld'!$C$16,21)</f>
        <v>47027</v>
      </c>
      <c r="C27" s="27" t="n">
        <f aca="false">N('Min gæld'!$C$15)+IF(N(G26)&lt;=0.005,N('Min gæld'!$E$5),0)+IF(N(K26)&lt;=0.005,N('Min gæld'!$E$6),0)+IF(N(O26)&lt;=0.005,N('Min gæld'!$E$7),0)+IF(N(S26)&lt;=0.005,N('Min gæld'!$E$8),0)+IF(N(W26)&lt;=0.005,N('Min gæld'!$E$9),0)+IF(N(AA26)&lt;=0.005,N('Min gæld'!$E$10),0)+IF(N(AE26)&lt;=0.005,N('Min gæld'!$E$11),0)+IF(N(AI26)&lt;=0.005,N('Min gæld'!$E$12),0)</f>
        <v>2300</v>
      </c>
      <c r="D27" s="27" t="n">
        <f aca="false">MAX(0,C27)</f>
        <v>2300</v>
      </c>
      <c r="E27" s="27" t="n">
        <f aca="false">IF(N(G26)&lt;=0.005,0,N(G26)*(1+N('Min gæld'!$D$5)/12))</f>
        <v>0</v>
      </c>
      <c r="F27" s="27" t="n">
        <f aca="false">IF(E27&lt;=0,0,MIN(E27,N('Min gæld'!$E$5)+D27))</f>
        <v>0</v>
      </c>
      <c r="G27" s="27" t="n">
        <f aca="false">IF(E27-F27&lt;0.005,0,E27-F27)</f>
        <v>0</v>
      </c>
      <c r="H27" s="27" t="n">
        <f aca="false">MAX(0,IF(N(G26)&lt;=0.005,D27,D27+N('Min gæld'!$E$5)-F27))</f>
        <v>2300</v>
      </c>
      <c r="I27" s="27" t="n">
        <f aca="false">IF(N(K26)&lt;=0.005,0,N(K26)*(1+N('Min gæld'!$D$6)/12))</f>
        <v>0</v>
      </c>
      <c r="J27" s="27" t="n">
        <f aca="false">IF(I27&lt;=0,0,MIN(I27,N('Min gæld'!$E$6)+H27))</f>
        <v>0</v>
      </c>
      <c r="K27" s="27" t="n">
        <f aca="false">IF(I27-J27&lt;0.005,0,I27-J27)</f>
        <v>0</v>
      </c>
      <c r="L27" s="27" t="n">
        <f aca="false">MAX(0,IF(N(K26)&lt;=0.005,H27,H27+N('Min gæld'!$E$6)-J27))</f>
        <v>2300</v>
      </c>
      <c r="M27" s="27" t="n">
        <f aca="false">IF(N(O26)&lt;=0.005,0,N(O26)*(1+N('Min gæld'!$D$7)/12))</f>
        <v>53800.948768263</v>
      </c>
      <c r="N27" s="27" t="n">
        <f aca="false">IF(M27&lt;=0,0,MIN(M27,N('Min gæld'!$E$7)+L27))</f>
        <v>4100</v>
      </c>
      <c r="O27" s="27" t="n">
        <f aca="false">IF(M27-N27&lt;0.005,0,M27-N27)</f>
        <v>49700.948768263</v>
      </c>
      <c r="P27" s="27" t="n">
        <f aca="false">MAX(0,IF(N(O26)&lt;=0.005,L27,L27+N('Min gæld'!$E$7)-N27))</f>
        <v>0</v>
      </c>
      <c r="Q27" s="27" t="n">
        <f aca="false">IF(N(S26)&lt;=0.005,0,N(S26)*(1+N('Min gæld'!$D$8)/12))</f>
        <v>49306.3073404558</v>
      </c>
      <c r="R27" s="27" t="n">
        <f aca="false">IF(Q27&lt;=0,0,MIN(Q27,N('Min gæld'!$E$8)+P27))</f>
        <v>700</v>
      </c>
      <c r="S27" s="27" t="n">
        <f aca="false">IF(Q27-R27&lt;0.005,0,Q27-R27)</f>
        <v>48606.3073404558</v>
      </c>
      <c r="T27" s="27" t="n">
        <f aca="false">MAX(0,IF(N(S26)&lt;=0.005,P27,P27+N('Min gæld'!$E$8)-R27))</f>
        <v>0</v>
      </c>
      <c r="U27" s="27" t="n">
        <f aca="false">IF(N(W26)&lt;=0.005,0,N(W26)*(1+N('Min gæld'!$D$9)/12))</f>
        <v>0</v>
      </c>
      <c r="V27" s="27" t="n">
        <f aca="false">IF(U27&lt;=0,0,MIN(U27,N('Min gæld'!$E$9)+T27))</f>
        <v>0</v>
      </c>
      <c r="W27" s="27" t="n">
        <f aca="false">IF(U27-V27&lt;0.005,0,U27-V27)</f>
        <v>0</v>
      </c>
      <c r="X27" s="27" t="n">
        <f aca="false">MAX(0,IF(N(W26)&lt;=0.005,T27,T27+N('Min gæld'!$E$9)-V27))</f>
        <v>0</v>
      </c>
      <c r="Y27" s="27" t="n">
        <f aca="false">IF(N(AA26)&lt;=0.005,0,N(AA26)*(1+N('Min gæld'!$D$10)/12))</f>
        <v>0</v>
      </c>
      <c r="Z27" s="27" t="n">
        <f aca="false">IF(Y27&lt;=0,0,MIN(Y27,N('Min gæld'!$E$10)+X27))</f>
        <v>0</v>
      </c>
      <c r="AA27" s="27" t="n">
        <f aca="false">IF(Y27-Z27&lt;0.005,0,Y27-Z27)</f>
        <v>0</v>
      </c>
      <c r="AB27" s="27" t="n">
        <f aca="false">MAX(0,IF(N(AA26)&lt;=0.005,X27,X27+N('Min gæld'!$E$10)-Z27))</f>
        <v>0</v>
      </c>
      <c r="AC27" s="27" t="n">
        <f aca="false">IF(N(AE26)&lt;=0.005,0,N(AE26)*(1+N('Min gæld'!$D$11)/12))</f>
        <v>0</v>
      </c>
      <c r="AD27" s="27" t="n">
        <f aca="false">IF(AC27&lt;=0,0,MIN(AC27,N('Min gæld'!$E$11)+AB27))</f>
        <v>0</v>
      </c>
      <c r="AE27" s="27" t="n">
        <f aca="false">IF(AC27-AD27&lt;0.005,0,AC27-AD27)</f>
        <v>0</v>
      </c>
      <c r="AF27" s="27" t="n">
        <f aca="false">MAX(0,IF(N(AE26)&lt;=0.005,AB27,AB27+N('Min gæld'!$E$11)-AD27))</f>
        <v>0</v>
      </c>
      <c r="AG27" s="27" t="n">
        <f aca="false">IF(N(AI26)&lt;=0.005,0,N(AI26)*(1+N('Min gæld'!$D$12)/12))</f>
        <v>0</v>
      </c>
      <c r="AH27" s="27" t="n">
        <f aca="false">IF(AG27&lt;=0,0,MIN(AG27,N('Min gæld'!$E$12)+AF27))</f>
        <v>0</v>
      </c>
      <c r="AI27" s="27" t="n">
        <f aca="false">IF(AG27-AH27&lt;0.005,0,AG27-AH27)</f>
        <v>0</v>
      </c>
      <c r="AJ27" s="27" t="n">
        <f aca="false">G27+K27+O27+S27+W27+AA27+AE27+AI27</f>
        <v>98307.2561087188</v>
      </c>
      <c r="AK27" s="28" t="n">
        <f aca="false">IF(E27&gt;0,E27-N(G26),0)+IF(I27&gt;0,I27-N(K26),0)+IF(M27&gt;0,M27-N(O26),0)+IF(Q27&gt;0,Q27-N(S26),0)+IF(U27&gt;0,U27-N(W26),0)+IF(Y27&gt;0,Y27-N(AA26),0)+IF(AC27&gt;0,AC27-N(AE26),0)+IF(AG27&gt;0,AG27-N(AI26),0)</f>
        <v>409.270974767591</v>
      </c>
    </row>
    <row r="28" customFormat="false" ht="15" hidden="false" customHeight="false" outlineLevel="0" collapsed="false">
      <c r="A28" s="25" t="n">
        <v>23</v>
      </c>
      <c r="B28" s="26" t="n">
        <f aca="false">EDATE('Min gæld'!$C$16,22)</f>
        <v>47058</v>
      </c>
      <c r="C28" s="27" t="n">
        <f aca="false">N('Min gæld'!$C$15)+IF(N(G27)&lt;=0.005,N('Min gæld'!$E$5),0)+IF(N(K27)&lt;=0.005,N('Min gæld'!$E$6),0)+IF(N(O27)&lt;=0.005,N('Min gæld'!$E$7),0)+IF(N(S27)&lt;=0.005,N('Min gæld'!$E$8),0)+IF(N(W27)&lt;=0.005,N('Min gæld'!$E$9),0)+IF(N(AA27)&lt;=0.005,N('Min gæld'!$E$10),0)+IF(N(AE27)&lt;=0.005,N('Min gæld'!$E$11),0)+IF(N(AI27)&lt;=0.005,N('Min gæld'!$E$12),0)</f>
        <v>2300</v>
      </c>
      <c r="D28" s="27" t="n">
        <f aca="false">MAX(0,C28)</f>
        <v>2300</v>
      </c>
      <c r="E28" s="27" t="n">
        <f aca="false">IF(N(G27)&lt;=0.005,0,N(G27)*(1+N('Min gæld'!$D$5)/12))</f>
        <v>0</v>
      </c>
      <c r="F28" s="27" t="n">
        <f aca="false">IF(E28&lt;=0,0,MIN(E28,N('Min gæld'!$E$5)+D28))</f>
        <v>0</v>
      </c>
      <c r="G28" s="27" t="n">
        <f aca="false">IF(E28-F28&lt;0.005,0,E28-F28)</f>
        <v>0</v>
      </c>
      <c r="H28" s="27" t="n">
        <f aca="false">MAX(0,IF(N(G27)&lt;=0.005,D28,D28+N('Min gæld'!$E$5)-F28))</f>
        <v>2300</v>
      </c>
      <c r="I28" s="27" t="n">
        <f aca="false">IF(N(K27)&lt;=0.005,0,N(K27)*(1+N('Min gæld'!$D$6)/12))</f>
        <v>0</v>
      </c>
      <c r="J28" s="27" t="n">
        <f aca="false">IF(I28&lt;=0,0,MIN(I28,N('Min gæld'!$E$6)+H28))</f>
        <v>0</v>
      </c>
      <c r="K28" s="27" t="n">
        <f aca="false">IF(I28-J28&lt;0.005,0,I28-J28)</f>
        <v>0</v>
      </c>
      <c r="L28" s="27" t="n">
        <f aca="false">MAX(0,IF(N(K27)&lt;=0.005,H28,H28+N('Min gæld'!$E$6)-J28))</f>
        <v>2300</v>
      </c>
      <c r="M28" s="27" t="n">
        <f aca="false">IF(N(O27)&lt;=0.005,0,N(O27)*(1+N('Min gæld'!$D$7)/12))</f>
        <v>49928.7447834509</v>
      </c>
      <c r="N28" s="27" t="n">
        <f aca="false">IF(M28&lt;=0,0,MIN(M28,N('Min gæld'!$E$7)+L28))</f>
        <v>4100</v>
      </c>
      <c r="O28" s="27" t="n">
        <f aca="false">IF(M28-N28&lt;0.005,0,M28-N28)</f>
        <v>45828.7447834509</v>
      </c>
      <c r="P28" s="27" t="n">
        <f aca="false">MAX(0,IF(N(O27)&lt;=0.005,L28,L28+N('Min gæld'!$E$7)-N28))</f>
        <v>0</v>
      </c>
      <c r="Q28" s="27" t="n">
        <f aca="false">IF(N(S27)&lt;=0.005,0,N(S27)*(1+N('Min gæld'!$D$8)/12))</f>
        <v>48768.328364924</v>
      </c>
      <c r="R28" s="27" t="n">
        <f aca="false">IF(Q28&lt;=0,0,MIN(Q28,N('Min gæld'!$E$8)+P28))</f>
        <v>700</v>
      </c>
      <c r="S28" s="27" t="n">
        <f aca="false">IF(Q28-R28&lt;0.005,0,Q28-R28)</f>
        <v>48068.328364924</v>
      </c>
      <c r="T28" s="27" t="n">
        <f aca="false">MAX(0,IF(N(S27)&lt;=0.005,P28,P28+N('Min gæld'!$E$8)-R28))</f>
        <v>0</v>
      </c>
      <c r="U28" s="27" t="n">
        <f aca="false">IF(N(W27)&lt;=0.005,0,N(W27)*(1+N('Min gæld'!$D$9)/12))</f>
        <v>0</v>
      </c>
      <c r="V28" s="27" t="n">
        <f aca="false">IF(U28&lt;=0,0,MIN(U28,N('Min gæld'!$E$9)+T28))</f>
        <v>0</v>
      </c>
      <c r="W28" s="27" t="n">
        <f aca="false">IF(U28-V28&lt;0.005,0,U28-V28)</f>
        <v>0</v>
      </c>
      <c r="X28" s="27" t="n">
        <f aca="false">MAX(0,IF(N(W27)&lt;=0.005,T28,T28+N('Min gæld'!$E$9)-V28))</f>
        <v>0</v>
      </c>
      <c r="Y28" s="27" t="n">
        <f aca="false">IF(N(AA27)&lt;=0.005,0,N(AA27)*(1+N('Min gæld'!$D$10)/12))</f>
        <v>0</v>
      </c>
      <c r="Z28" s="27" t="n">
        <f aca="false">IF(Y28&lt;=0,0,MIN(Y28,N('Min gæld'!$E$10)+X28))</f>
        <v>0</v>
      </c>
      <c r="AA28" s="27" t="n">
        <f aca="false">IF(Y28-Z28&lt;0.005,0,Y28-Z28)</f>
        <v>0</v>
      </c>
      <c r="AB28" s="27" t="n">
        <f aca="false">MAX(0,IF(N(AA27)&lt;=0.005,X28,X28+N('Min gæld'!$E$10)-Z28))</f>
        <v>0</v>
      </c>
      <c r="AC28" s="27" t="n">
        <f aca="false">IF(N(AE27)&lt;=0.005,0,N(AE27)*(1+N('Min gæld'!$D$11)/12))</f>
        <v>0</v>
      </c>
      <c r="AD28" s="27" t="n">
        <f aca="false">IF(AC28&lt;=0,0,MIN(AC28,N('Min gæld'!$E$11)+AB28))</f>
        <v>0</v>
      </c>
      <c r="AE28" s="27" t="n">
        <f aca="false">IF(AC28-AD28&lt;0.005,0,AC28-AD28)</f>
        <v>0</v>
      </c>
      <c r="AF28" s="27" t="n">
        <f aca="false">MAX(0,IF(N(AE27)&lt;=0.005,AB28,AB28+N('Min gæld'!$E$11)-AD28))</f>
        <v>0</v>
      </c>
      <c r="AG28" s="27" t="n">
        <f aca="false">IF(N(AI27)&lt;=0.005,0,N(AI27)*(1+N('Min gæld'!$D$12)/12))</f>
        <v>0</v>
      </c>
      <c r="AH28" s="27" t="n">
        <f aca="false">IF(AG28&lt;=0,0,MIN(AG28,N('Min gæld'!$E$12)+AF28))</f>
        <v>0</v>
      </c>
      <c r="AI28" s="27" t="n">
        <f aca="false">IF(AG28-AH28&lt;0.005,0,AG28-AH28)</f>
        <v>0</v>
      </c>
      <c r="AJ28" s="27" t="n">
        <f aca="false">G28+K28+O28+S28+W28+AA28+AE28+AI28</f>
        <v>93897.0731483749</v>
      </c>
      <c r="AK28" s="28" t="n">
        <f aca="false">IF(E28&gt;0,E28-N(G27),0)+IF(I28&gt;0,I28-N(K27),0)+IF(M28&gt;0,M28-N(O27),0)+IF(Q28&gt;0,Q28-N(S27),0)+IF(U28&gt;0,U28-N(W27),0)+IF(Y28&gt;0,Y28-N(AA27),0)+IF(AC28&gt;0,AC28-N(AE27),0)+IF(AG28&gt;0,AG28-N(AI27),0)</f>
        <v>389.81703965606</v>
      </c>
    </row>
    <row r="29" customFormat="false" ht="15" hidden="false" customHeight="false" outlineLevel="0" collapsed="false">
      <c r="A29" s="25" t="n">
        <v>24</v>
      </c>
      <c r="B29" s="26" t="n">
        <f aca="false">EDATE('Min gæld'!$C$16,23)</f>
        <v>47088</v>
      </c>
      <c r="C29" s="27" t="n">
        <f aca="false">N('Min gæld'!$C$15)+IF(N(G28)&lt;=0.005,N('Min gæld'!$E$5),0)+IF(N(K28)&lt;=0.005,N('Min gæld'!$E$6),0)+IF(N(O28)&lt;=0.005,N('Min gæld'!$E$7),0)+IF(N(S28)&lt;=0.005,N('Min gæld'!$E$8),0)+IF(N(W28)&lt;=0.005,N('Min gæld'!$E$9),0)+IF(N(AA28)&lt;=0.005,N('Min gæld'!$E$10),0)+IF(N(AE28)&lt;=0.005,N('Min gæld'!$E$11),0)+IF(N(AI28)&lt;=0.005,N('Min gæld'!$E$12),0)</f>
        <v>2300</v>
      </c>
      <c r="D29" s="27" t="n">
        <f aca="false">MAX(0,C29)</f>
        <v>2300</v>
      </c>
      <c r="E29" s="27" t="n">
        <f aca="false">IF(N(G28)&lt;=0.005,0,N(G28)*(1+N('Min gæld'!$D$5)/12))</f>
        <v>0</v>
      </c>
      <c r="F29" s="27" t="n">
        <f aca="false">IF(E29&lt;=0,0,MIN(E29,N('Min gæld'!$E$5)+D29))</f>
        <v>0</v>
      </c>
      <c r="G29" s="27" t="n">
        <f aca="false">IF(E29-F29&lt;0.005,0,E29-F29)</f>
        <v>0</v>
      </c>
      <c r="H29" s="27" t="n">
        <f aca="false">MAX(0,IF(N(G28)&lt;=0.005,D29,D29+N('Min gæld'!$E$5)-F29))</f>
        <v>2300</v>
      </c>
      <c r="I29" s="27" t="n">
        <f aca="false">IF(N(K28)&lt;=0.005,0,N(K28)*(1+N('Min gæld'!$D$6)/12))</f>
        <v>0</v>
      </c>
      <c r="J29" s="27" t="n">
        <f aca="false">IF(I29&lt;=0,0,MIN(I29,N('Min gæld'!$E$6)+H29))</f>
        <v>0</v>
      </c>
      <c r="K29" s="27" t="n">
        <f aca="false">IF(I29-J29&lt;0.005,0,I29-J29)</f>
        <v>0</v>
      </c>
      <c r="L29" s="27" t="n">
        <f aca="false">MAX(0,IF(N(K28)&lt;=0.005,H29,H29+N('Min gæld'!$E$6)-J29))</f>
        <v>2300</v>
      </c>
      <c r="M29" s="27" t="n">
        <f aca="false">IF(N(O28)&lt;=0.005,0,N(O28)*(1+N('Min gæld'!$D$7)/12))</f>
        <v>46038.7931970417</v>
      </c>
      <c r="N29" s="27" t="n">
        <f aca="false">IF(M29&lt;=0,0,MIN(M29,N('Min gæld'!$E$7)+L29))</f>
        <v>4100</v>
      </c>
      <c r="O29" s="27" t="n">
        <f aca="false">IF(M29-N29&lt;0.005,0,M29-N29)</f>
        <v>41938.7931970417</v>
      </c>
      <c r="P29" s="27" t="n">
        <f aca="false">MAX(0,IF(N(O28)&lt;=0.005,L29,L29+N('Min gæld'!$E$7)-N29))</f>
        <v>0</v>
      </c>
      <c r="Q29" s="27" t="n">
        <f aca="false">IF(N(S28)&lt;=0.005,0,N(S28)*(1+N('Min gæld'!$D$8)/12))</f>
        <v>48228.5561261405</v>
      </c>
      <c r="R29" s="27" t="n">
        <f aca="false">IF(Q29&lt;=0,0,MIN(Q29,N('Min gæld'!$E$8)+P29))</f>
        <v>700</v>
      </c>
      <c r="S29" s="27" t="n">
        <f aca="false">IF(Q29-R29&lt;0.005,0,Q29-R29)</f>
        <v>47528.5561261405</v>
      </c>
      <c r="T29" s="27" t="n">
        <f aca="false">MAX(0,IF(N(S28)&lt;=0.005,P29,P29+N('Min gæld'!$E$8)-R29))</f>
        <v>0</v>
      </c>
      <c r="U29" s="27" t="n">
        <f aca="false">IF(N(W28)&lt;=0.005,0,N(W28)*(1+N('Min gæld'!$D$9)/12))</f>
        <v>0</v>
      </c>
      <c r="V29" s="27" t="n">
        <f aca="false">IF(U29&lt;=0,0,MIN(U29,N('Min gæld'!$E$9)+T29))</f>
        <v>0</v>
      </c>
      <c r="W29" s="27" t="n">
        <f aca="false">IF(U29-V29&lt;0.005,0,U29-V29)</f>
        <v>0</v>
      </c>
      <c r="X29" s="27" t="n">
        <f aca="false">MAX(0,IF(N(W28)&lt;=0.005,T29,T29+N('Min gæld'!$E$9)-V29))</f>
        <v>0</v>
      </c>
      <c r="Y29" s="27" t="n">
        <f aca="false">IF(N(AA28)&lt;=0.005,0,N(AA28)*(1+N('Min gæld'!$D$10)/12))</f>
        <v>0</v>
      </c>
      <c r="Z29" s="27" t="n">
        <f aca="false">IF(Y29&lt;=0,0,MIN(Y29,N('Min gæld'!$E$10)+X29))</f>
        <v>0</v>
      </c>
      <c r="AA29" s="27" t="n">
        <f aca="false">IF(Y29-Z29&lt;0.005,0,Y29-Z29)</f>
        <v>0</v>
      </c>
      <c r="AB29" s="27" t="n">
        <f aca="false">MAX(0,IF(N(AA28)&lt;=0.005,X29,X29+N('Min gæld'!$E$10)-Z29))</f>
        <v>0</v>
      </c>
      <c r="AC29" s="27" t="n">
        <f aca="false">IF(N(AE28)&lt;=0.005,0,N(AE28)*(1+N('Min gæld'!$D$11)/12))</f>
        <v>0</v>
      </c>
      <c r="AD29" s="27" t="n">
        <f aca="false">IF(AC29&lt;=0,0,MIN(AC29,N('Min gæld'!$E$11)+AB29))</f>
        <v>0</v>
      </c>
      <c r="AE29" s="27" t="n">
        <f aca="false">IF(AC29-AD29&lt;0.005,0,AC29-AD29)</f>
        <v>0</v>
      </c>
      <c r="AF29" s="27" t="n">
        <f aca="false">MAX(0,IF(N(AE28)&lt;=0.005,AB29,AB29+N('Min gæld'!$E$11)-AD29))</f>
        <v>0</v>
      </c>
      <c r="AG29" s="27" t="n">
        <f aca="false">IF(N(AI28)&lt;=0.005,0,N(AI28)*(1+N('Min gæld'!$D$12)/12))</f>
        <v>0</v>
      </c>
      <c r="AH29" s="27" t="n">
        <f aca="false">IF(AG29&lt;=0,0,MIN(AG29,N('Min gæld'!$E$12)+AF29))</f>
        <v>0</v>
      </c>
      <c r="AI29" s="27" t="n">
        <f aca="false">IF(AG29-AH29&lt;0.005,0,AG29-AH29)</f>
        <v>0</v>
      </c>
      <c r="AJ29" s="27" t="n">
        <f aca="false">G29+K29+O29+S29+W29+AA29+AE29+AI29</f>
        <v>89467.3493231821</v>
      </c>
      <c r="AK29" s="28" t="n">
        <f aca="false">IF(E29&gt;0,E29-N(G28),0)+IF(I29&gt;0,I29-N(K28),0)+IF(M29&gt;0,M29-N(O28),0)+IF(Q29&gt;0,Q29-N(S28),0)+IF(U29&gt;0,U29-N(W28),0)+IF(Y29&gt;0,Y29-N(AA28),0)+IF(AC29&gt;0,AC29-N(AE28),0)+IF(AG29&gt;0,AG29-N(AI28),0)</f>
        <v>370.276174807237</v>
      </c>
    </row>
    <row r="30" customFormat="false" ht="15" hidden="false" customHeight="false" outlineLevel="0" collapsed="false">
      <c r="A30" s="25" t="n">
        <v>25</v>
      </c>
      <c r="B30" s="26" t="n">
        <f aca="false">EDATE('Min gæld'!$C$16,24)</f>
        <v>47119</v>
      </c>
      <c r="C30" s="27" t="n">
        <f aca="false">N('Min gæld'!$C$15)+IF(N(G29)&lt;=0.005,N('Min gæld'!$E$5),0)+IF(N(K29)&lt;=0.005,N('Min gæld'!$E$6),0)+IF(N(O29)&lt;=0.005,N('Min gæld'!$E$7),0)+IF(N(S29)&lt;=0.005,N('Min gæld'!$E$8),0)+IF(N(W29)&lt;=0.005,N('Min gæld'!$E$9),0)+IF(N(AA29)&lt;=0.005,N('Min gæld'!$E$10),0)+IF(N(AE29)&lt;=0.005,N('Min gæld'!$E$11),0)+IF(N(AI29)&lt;=0.005,N('Min gæld'!$E$12),0)</f>
        <v>2300</v>
      </c>
      <c r="D30" s="27" t="n">
        <f aca="false">MAX(0,C30)</f>
        <v>2300</v>
      </c>
      <c r="E30" s="27" t="n">
        <f aca="false">IF(N(G29)&lt;=0.005,0,N(G29)*(1+N('Min gæld'!$D$5)/12))</f>
        <v>0</v>
      </c>
      <c r="F30" s="27" t="n">
        <f aca="false">IF(E30&lt;=0,0,MIN(E30,N('Min gæld'!$E$5)+D30))</f>
        <v>0</v>
      </c>
      <c r="G30" s="27" t="n">
        <f aca="false">IF(E30-F30&lt;0.005,0,E30-F30)</f>
        <v>0</v>
      </c>
      <c r="H30" s="27" t="n">
        <f aca="false">MAX(0,IF(N(G29)&lt;=0.005,D30,D30+N('Min gæld'!$E$5)-F30))</f>
        <v>2300</v>
      </c>
      <c r="I30" s="27" t="n">
        <f aca="false">IF(N(K29)&lt;=0.005,0,N(K29)*(1+N('Min gæld'!$D$6)/12))</f>
        <v>0</v>
      </c>
      <c r="J30" s="27" t="n">
        <f aca="false">IF(I30&lt;=0,0,MIN(I30,N('Min gæld'!$E$6)+H30))</f>
        <v>0</v>
      </c>
      <c r="K30" s="27" t="n">
        <f aca="false">IF(I30-J30&lt;0.005,0,I30-J30)</f>
        <v>0</v>
      </c>
      <c r="L30" s="27" t="n">
        <f aca="false">MAX(0,IF(N(K29)&lt;=0.005,H30,H30+N('Min gæld'!$E$6)-J30))</f>
        <v>2300</v>
      </c>
      <c r="M30" s="27" t="n">
        <f aca="false">IF(N(O29)&lt;=0.005,0,N(O29)*(1+N('Min gæld'!$D$7)/12))</f>
        <v>42131.0126658615</v>
      </c>
      <c r="N30" s="27" t="n">
        <f aca="false">IF(M30&lt;=0,0,MIN(M30,N('Min gæld'!$E$7)+L30))</f>
        <v>4100</v>
      </c>
      <c r="O30" s="27" t="n">
        <f aca="false">IF(M30-N30&lt;0.005,0,M30-N30)</f>
        <v>38031.0126658615</v>
      </c>
      <c r="P30" s="27" t="n">
        <f aca="false">MAX(0,IF(N(O29)&lt;=0.005,L30,L30+N('Min gæld'!$E$7)-N30))</f>
        <v>0</v>
      </c>
      <c r="Q30" s="27" t="n">
        <f aca="false">IF(N(S29)&lt;=0.005,0,N(S29)*(1+N('Min gæld'!$D$8)/12))</f>
        <v>47686.9846465609</v>
      </c>
      <c r="R30" s="27" t="n">
        <f aca="false">IF(Q30&lt;=0,0,MIN(Q30,N('Min gæld'!$E$8)+P30))</f>
        <v>700</v>
      </c>
      <c r="S30" s="27" t="n">
        <f aca="false">IF(Q30-R30&lt;0.005,0,Q30-R30)</f>
        <v>46986.9846465609</v>
      </c>
      <c r="T30" s="27" t="n">
        <f aca="false">MAX(0,IF(N(S29)&lt;=0.005,P30,P30+N('Min gæld'!$E$8)-R30))</f>
        <v>0</v>
      </c>
      <c r="U30" s="27" t="n">
        <f aca="false">IF(N(W29)&lt;=0.005,0,N(W29)*(1+N('Min gæld'!$D$9)/12))</f>
        <v>0</v>
      </c>
      <c r="V30" s="27" t="n">
        <f aca="false">IF(U30&lt;=0,0,MIN(U30,N('Min gæld'!$E$9)+T30))</f>
        <v>0</v>
      </c>
      <c r="W30" s="27" t="n">
        <f aca="false">IF(U30-V30&lt;0.005,0,U30-V30)</f>
        <v>0</v>
      </c>
      <c r="X30" s="27" t="n">
        <f aca="false">MAX(0,IF(N(W29)&lt;=0.005,T30,T30+N('Min gæld'!$E$9)-V30))</f>
        <v>0</v>
      </c>
      <c r="Y30" s="27" t="n">
        <f aca="false">IF(N(AA29)&lt;=0.005,0,N(AA29)*(1+N('Min gæld'!$D$10)/12))</f>
        <v>0</v>
      </c>
      <c r="Z30" s="27" t="n">
        <f aca="false">IF(Y30&lt;=0,0,MIN(Y30,N('Min gæld'!$E$10)+X30))</f>
        <v>0</v>
      </c>
      <c r="AA30" s="27" t="n">
        <f aca="false">IF(Y30-Z30&lt;0.005,0,Y30-Z30)</f>
        <v>0</v>
      </c>
      <c r="AB30" s="27" t="n">
        <f aca="false">MAX(0,IF(N(AA29)&lt;=0.005,X30,X30+N('Min gæld'!$E$10)-Z30))</f>
        <v>0</v>
      </c>
      <c r="AC30" s="27" t="n">
        <f aca="false">IF(N(AE29)&lt;=0.005,0,N(AE29)*(1+N('Min gæld'!$D$11)/12))</f>
        <v>0</v>
      </c>
      <c r="AD30" s="27" t="n">
        <f aca="false">IF(AC30&lt;=0,0,MIN(AC30,N('Min gæld'!$E$11)+AB30))</f>
        <v>0</v>
      </c>
      <c r="AE30" s="27" t="n">
        <f aca="false">IF(AC30-AD30&lt;0.005,0,AC30-AD30)</f>
        <v>0</v>
      </c>
      <c r="AF30" s="27" t="n">
        <f aca="false">MAX(0,IF(N(AE29)&lt;=0.005,AB30,AB30+N('Min gæld'!$E$11)-AD30))</f>
        <v>0</v>
      </c>
      <c r="AG30" s="27" t="n">
        <f aca="false">IF(N(AI29)&lt;=0.005,0,N(AI29)*(1+N('Min gæld'!$D$12)/12))</f>
        <v>0</v>
      </c>
      <c r="AH30" s="27" t="n">
        <f aca="false">IF(AG30&lt;=0,0,MIN(AG30,N('Min gæld'!$E$12)+AF30))</f>
        <v>0</v>
      </c>
      <c r="AI30" s="27" t="n">
        <f aca="false">IF(AG30-AH30&lt;0.005,0,AG30-AH30)</f>
        <v>0</v>
      </c>
      <c r="AJ30" s="27" t="n">
        <f aca="false">G30+K30+O30+S30+W30+AA30+AE30+AI30</f>
        <v>85017.9973124224</v>
      </c>
      <c r="AK30" s="28" t="n">
        <f aca="false">IF(E30&gt;0,E30-N(G29),0)+IF(I30&gt;0,I30-N(K29),0)+IF(M30&gt;0,M30-N(O29),0)+IF(Q30&gt;0,Q30-N(S29),0)+IF(U30&gt;0,U30-N(W29),0)+IF(Y30&gt;0,Y30-N(AA29),0)+IF(AC30&gt;0,AC30-N(AE29),0)+IF(AG30&gt;0,AG30-N(AI29),0)</f>
        <v>350.647989240249</v>
      </c>
    </row>
    <row r="31" customFormat="false" ht="15" hidden="false" customHeight="false" outlineLevel="0" collapsed="false">
      <c r="A31" s="25" t="n">
        <v>26</v>
      </c>
      <c r="B31" s="26" t="n">
        <f aca="false">EDATE('Min gæld'!$C$16,25)</f>
        <v>47150</v>
      </c>
      <c r="C31" s="27" t="n">
        <f aca="false">N('Min gæld'!$C$15)+IF(N(G30)&lt;=0.005,N('Min gæld'!$E$5),0)+IF(N(K30)&lt;=0.005,N('Min gæld'!$E$6),0)+IF(N(O30)&lt;=0.005,N('Min gæld'!$E$7),0)+IF(N(S30)&lt;=0.005,N('Min gæld'!$E$8),0)+IF(N(W30)&lt;=0.005,N('Min gæld'!$E$9),0)+IF(N(AA30)&lt;=0.005,N('Min gæld'!$E$10),0)+IF(N(AE30)&lt;=0.005,N('Min gæld'!$E$11),0)+IF(N(AI30)&lt;=0.005,N('Min gæld'!$E$12),0)</f>
        <v>2300</v>
      </c>
      <c r="D31" s="27" t="n">
        <f aca="false">MAX(0,C31)</f>
        <v>2300</v>
      </c>
      <c r="E31" s="27" t="n">
        <f aca="false">IF(N(G30)&lt;=0.005,0,N(G30)*(1+N('Min gæld'!$D$5)/12))</f>
        <v>0</v>
      </c>
      <c r="F31" s="27" t="n">
        <f aca="false">IF(E31&lt;=0,0,MIN(E31,N('Min gæld'!$E$5)+D31))</f>
        <v>0</v>
      </c>
      <c r="G31" s="27" t="n">
        <f aca="false">IF(E31-F31&lt;0.005,0,E31-F31)</f>
        <v>0</v>
      </c>
      <c r="H31" s="27" t="n">
        <f aca="false">MAX(0,IF(N(G30)&lt;=0.005,D31,D31+N('Min gæld'!$E$5)-F31))</f>
        <v>2300</v>
      </c>
      <c r="I31" s="27" t="n">
        <f aca="false">IF(N(K30)&lt;=0.005,0,N(K30)*(1+N('Min gæld'!$D$6)/12))</f>
        <v>0</v>
      </c>
      <c r="J31" s="27" t="n">
        <f aca="false">IF(I31&lt;=0,0,MIN(I31,N('Min gæld'!$E$6)+H31))</f>
        <v>0</v>
      </c>
      <c r="K31" s="27" t="n">
        <f aca="false">IF(I31-J31&lt;0.005,0,I31-J31)</f>
        <v>0</v>
      </c>
      <c r="L31" s="27" t="n">
        <f aca="false">MAX(0,IF(N(K30)&lt;=0.005,H31,H31+N('Min gæld'!$E$6)-J31))</f>
        <v>2300</v>
      </c>
      <c r="M31" s="27" t="n">
        <f aca="false">IF(N(O30)&lt;=0.005,0,N(O30)*(1+N('Min gæld'!$D$7)/12))</f>
        <v>38205.3214739133</v>
      </c>
      <c r="N31" s="27" t="n">
        <f aca="false">IF(M31&lt;=0,0,MIN(M31,N('Min gæld'!$E$7)+L31))</f>
        <v>4100</v>
      </c>
      <c r="O31" s="27" t="n">
        <f aca="false">IF(M31-N31&lt;0.005,0,M31-N31)</f>
        <v>34105.3214739133</v>
      </c>
      <c r="P31" s="27" t="n">
        <f aca="false">MAX(0,IF(N(O30)&lt;=0.005,L31,L31+N('Min gæld'!$E$7)-N31))</f>
        <v>0</v>
      </c>
      <c r="Q31" s="27" t="n">
        <f aca="false">IF(N(S30)&lt;=0.005,0,N(S30)*(1+N('Min gæld'!$D$8)/12))</f>
        <v>47143.6079287161</v>
      </c>
      <c r="R31" s="27" t="n">
        <f aca="false">IF(Q31&lt;=0,0,MIN(Q31,N('Min gæld'!$E$8)+P31))</f>
        <v>700</v>
      </c>
      <c r="S31" s="27" t="n">
        <f aca="false">IF(Q31-R31&lt;0.005,0,Q31-R31)</f>
        <v>46443.6079287161</v>
      </c>
      <c r="T31" s="27" t="n">
        <f aca="false">MAX(0,IF(N(S30)&lt;=0.005,P31,P31+N('Min gæld'!$E$8)-R31))</f>
        <v>0</v>
      </c>
      <c r="U31" s="27" t="n">
        <f aca="false">IF(N(W30)&lt;=0.005,0,N(W30)*(1+N('Min gæld'!$D$9)/12))</f>
        <v>0</v>
      </c>
      <c r="V31" s="27" t="n">
        <f aca="false">IF(U31&lt;=0,0,MIN(U31,N('Min gæld'!$E$9)+T31))</f>
        <v>0</v>
      </c>
      <c r="W31" s="27" t="n">
        <f aca="false">IF(U31-V31&lt;0.005,0,U31-V31)</f>
        <v>0</v>
      </c>
      <c r="X31" s="27" t="n">
        <f aca="false">MAX(0,IF(N(W30)&lt;=0.005,T31,T31+N('Min gæld'!$E$9)-V31))</f>
        <v>0</v>
      </c>
      <c r="Y31" s="27" t="n">
        <f aca="false">IF(N(AA30)&lt;=0.005,0,N(AA30)*(1+N('Min gæld'!$D$10)/12))</f>
        <v>0</v>
      </c>
      <c r="Z31" s="27" t="n">
        <f aca="false">IF(Y31&lt;=0,0,MIN(Y31,N('Min gæld'!$E$10)+X31))</f>
        <v>0</v>
      </c>
      <c r="AA31" s="27" t="n">
        <f aca="false">IF(Y31-Z31&lt;0.005,0,Y31-Z31)</f>
        <v>0</v>
      </c>
      <c r="AB31" s="27" t="n">
        <f aca="false">MAX(0,IF(N(AA30)&lt;=0.005,X31,X31+N('Min gæld'!$E$10)-Z31))</f>
        <v>0</v>
      </c>
      <c r="AC31" s="27" t="n">
        <f aca="false">IF(N(AE30)&lt;=0.005,0,N(AE30)*(1+N('Min gæld'!$D$11)/12))</f>
        <v>0</v>
      </c>
      <c r="AD31" s="27" t="n">
        <f aca="false">IF(AC31&lt;=0,0,MIN(AC31,N('Min gæld'!$E$11)+AB31))</f>
        <v>0</v>
      </c>
      <c r="AE31" s="27" t="n">
        <f aca="false">IF(AC31-AD31&lt;0.005,0,AC31-AD31)</f>
        <v>0</v>
      </c>
      <c r="AF31" s="27" t="n">
        <f aca="false">MAX(0,IF(N(AE30)&lt;=0.005,AB31,AB31+N('Min gæld'!$E$11)-AD31))</f>
        <v>0</v>
      </c>
      <c r="AG31" s="27" t="n">
        <f aca="false">IF(N(AI30)&lt;=0.005,0,N(AI30)*(1+N('Min gæld'!$D$12)/12))</f>
        <v>0</v>
      </c>
      <c r="AH31" s="27" t="n">
        <f aca="false">IF(AG31&lt;=0,0,MIN(AG31,N('Min gæld'!$E$12)+AF31))</f>
        <v>0</v>
      </c>
      <c r="AI31" s="27" t="n">
        <f aca="false">IF(AG31-AH31&lt;0.005,0,AG31-AH31)</f>
        <v>0</v>
      </c>
      <c r="AJ31" s="27" t="n">
        <f aca="false">G31+K31+O31+S31+W31+AA31+AE31+AI31</f>
        <v>80548.9294026295</v>
      </c>
      <c r="AK31" s="28" t="n">
        <f aca="false">IF(E31&gt;0,E31-N(G30),0)+IF(I31&gt;0,I31-N(K30),0)+IF(M31&gt;0,M31-N(O30),0)+IF(Q31&gt;0,Q31-N(S30),0)+IF(U31&gt;0,U31-N(W30),0)+IF(Y31&gt;0,Y31-N(AA30),0)+IF(AC31&gt;0,AC31-N(AE30),0)+IF(AG31&gt;0,AG31-N(AI30),0)</f>
        <v>330.932090207069</v>
      </c>
    </row>
    <row r="32" customFormat="false" ht="15" hidden="false" customHeight="false" outlineLevel="0" collapsed="false">
      <c r="A32" s="25" t="n">
        <v>27</v>
      </c>
      <c r="B32" s="26" t="n">
        <f aca="false">EDATE('Min gæld'!$C$16,26)</f>
        <v>47178</v>
      </c>
      <c r="C32" s="27" t="n">
        <f aca="false">N('Min gæld'!$C$15)+IF(N(G31)&lt;=0.005,N('Min gæld'!$E$5),0)+IF(N(K31)&lt;=0.005,N('Min gæld'!$E$6),0)+IF(N(O31)&lt;=0.005,N('Min gæld'!$E$7),0)+IF(N(S31)&lt;=0.005,N('Min gæld'!$E$8),0)+IF(N(W31)&lt;=0.005,N('Min gæld'!$E$9),0)+IF(N(AA31)&lt;=0.005,N('Min gæld'!$E$10),0)+IF(N(AE31)&lt;=0.005,N('Min gæld'!$E$11),0)+IF(N(AI31)&lt;=0.005,N('Min gæld'!$E$12),0)</f>
        <v>2300</v>
      </c>
      <c r="D32" s="27" t="n">
        <f aca="false">MAX(0,C32)</f>
        <v>2300</v>
      </c>
      <c r="E32" s="27" t="n">
        <f aca="false">IF(N(G31)&lt;=0.005,0,N(G31)*(1+N('Min gæld'!$D$5)/12))</f>
        <v>0</v>
      </c>
      <c r="F32" s="27" t="n">
        <f aca="false">IF(E32&lt;=0,0,MIN(E32,N('Min gæld'!$E$5)+D32))</f>
        <v>0</v>
      </c>
      <c r="G32" s="27" t="n">
        <f aca="false">IF(E32-F32&lt;0.005,0,E32-F32)</f>
        <v>0</v>
      </c>
      <c r="H32" s="27" t="n">
        <f aca="false">MAX(0,IF(N(G31)&lt;=0.005,D32,D32+N('Min gæld'!$E$5)-F32))</f>
        <v>2300</v>
      </c>
      <c r="I32" s="27" t="n">
        <f aca="false">IF(N(K31)&lt;=0.005,0,N(K31)*(1+N('Min gæld'!$D$6)/12))</f>
        <v>0</v>
      </c>
      <c r="J32" s="27" t="n">
        <f aca="false">IF(I32&lt;=0,0,MIN(I32,N('Min gæld'!$E$6)+H32))</f>
        <v>0</v>
      </c>
      <c r="K32" s="27" t="n">
        <f aca="false">IF(I32-J32&lt;0.005,0,I32-J32)</f>
        <v>0</v>
      </c>
      <c r="L32" s="27" t="n">
        <f aca="false">MAX(0,IF(N(K31)&lt;=0.005,H32,H32+N('Min gæld'!$E$6)-J32))</f>
        <v>2300</v>
      </c>
      <c r="M32" s="27" t="n">
        <f aca="false">IF(N(O31)&lt;=0.005,0,N(O31)*(1+N('Min gæld'!$D$7)/12))</f>
        <v>34261.6375306688</v>
      </c>
      <c r="N32" s="27" t="n">
        <f aca="false">IF(M32&lt;=0,0,MIN(M32,N('Min gæld'!$E$7)+L32))</f>
        <v>4100</v>
      </c>
      <c r="O32" s="27" t="n">
        <f aca="false">IF(M32-N32&lt;0.005,0,M32-N32)</f>
        <v>30161.6375306688</v>
      </c>
      <c r="P32" s="27" t="n">
        <f aca="false">MAX(0,IF(N(O31)&lt;=0.005,L32,L32+N('Min gæld'!$E$7)-N32))</f>
        <v>0</v>
      </c>
      <c r="Q32" s="27" t="n">
        <f aca="false">IF(N(S31)&lt;=0.005,0,N(S31)*(1+N('Min gæld'!$D$8)/12))</f>
        <v>46598.4199551452</v>
      </c>
      <c r="R32" s="27" t="n">
        <f aca="false">IF(Q32&lt;=0,0,MIN(Q32,N('Min gæld'!$E$8)+P32))</f>
        <v>700</v>
      </c>
      <c r="S32" s="27" t="n">
        <f aca="false">IF(Q32-R32&lt;0.005,0,Q32-R32)</f>
        <v>45898.4199551452</v>
      </c>
      <c r="T32" s="27" t="n">
        <f aca="false">MAX(0,IF(N(S31)&lt;=0.005,P32,P32+N('Min gæld'!$E$8)-R32))</f>
        <v>0</v>
      </c>
      <c r="U32" s="27" t="n">
        <f aca="false">IF(N(W31)&lt;=0.005,0,N(W31)*(1+N('Min gæld'!$D$9)/12))</f>
        <v>0</v>
      </c>
      <c r="V32" s="27" t="n">
        <f aca="false">IF(U32&lt;=0,0,MIN(U32,N('Min gæld'!$E$9)+T32))</f>
        <v>0</v>
      </c>
      <c r="W32" s="27" t="n">
        <f aca="false">IF(U32-V32&lt;0.005,0,U32-V32)</f>
        <v>0</v>
      </c>
      <c r="X32" s="27" t="n">
        <f aca="false">MAX(0,IF(N(W31)&lt;=0.005,T32,T32+N('Min gæld'!$E$9)-V32))</f>
        <v>0</v>
      </c>
      <c r="Y32" s="27" t="n">
        <f aca="false">IF(N(AA31)&lt;=0.005,0,N(AA31)*(1+N('Min gæld'!$D$10)/12))</f>
        <v>0</v>
      </c>
      <c r="Z32" s="27" t="n">
        <f aca="false">IF(Y32&lt;=0,0,MIN(Y32,N('Min gæld'!$E$10)+X32))</f>
        <v>0</v>
      </c>
      <c r="AA32" s="27" t="n">
        <f aca="false">IF(Y32-Z32&lt;0.005,0,Y32-Z32)</f>
        <v>0</v>
      </c>
      <c r="AB32" s="27" t="n">
        <f aca="false">MAX(0,IF(N(AA31)&lt;=0.005,X32,X32+N('Min gæld'!$E$10)-Z32))</f>
        <v>0</v>
      </c>
      <c r="AC32" s="27" t="n">
        <f aca="false">IF(N(AE31)&lt;=0.005,0,N(AE31)*(1+N('Min gæld'!$D$11)/12))</f>
        <v>0</v>
      </c>
      <c r="AD32" s="27" t="n">
        <f aca="false">IF(AC32&lt;=0,0,MIN(AC32,N('Min gæld'!$E$11)+AB32))</f>
        <v>0</v>
      </c>
      <c r="AE32" s="27" t="n">
        <f aca="false">IF(AC32-AD32&lt;0.005,0,AC32-AD32)</f>
        <v>0</v>
      </c>
      <c r="AF32" s="27" t="n">
        <f aca="false">MAX(0,IF(N(AE31)&lt;=0.005,AB32,AB32+N('Min gæld'!$E$11)-AD32))</f>
        <v>0</v>
      </c>
      <c r="AG32" s="27" t="n">
        <f aca="false">IF(N(AI31)&lt;=0.005,0,N(AI31)*(1+N('Min gæld'!$D$12)/12))</f>
        <v>0</v>
      </c>
      <c r="AH32" s="27" t="n">
        <f aca="false">IF(AG32&lt;=0,0,MIN(AG32,N('Min gæld'!$E$12)+AF32))</f>
        <v>0</v>
      </c>
      <c r="AI32" s="27" t="n">
        <f aca="false">IF(AG32-AH32&lt;0.005,0,AG32-AH32)</f>
        <v>0</v>
      </c>
      <c r="AJ32" s="27" t="n">
        <f aca="false">G32+K32+O32+S32+W32+AA32+AE32+AI32</f>
        <v>76060.0574858139</v>
      </c>
      <c r="AK32" s="28" t="n">
        <f aca="false">IF(E32&gt;0,E32-N(G31),0)+IF(I32&gt;0,I32-N(K31),0)+IF(M32&gt;0,M32-N(O31),0)+IF(Q32&gt;0,Q32-N(S31),0)+IF(U32&gt;0,U32-N(W31),0)+IF(Y32&gt;0,Y32-N(AA31),0)+IF(AC32&gt;0,AC32-N(AE31),0)+IF(AG32&gt;0,AG32-N(AI31),0)</f>
        <v>311.128083184492</v>
      </c>
    </row>
    <row r="33" customFormat="false" ht="15" hidden="false" customHeight="false" outlineLevel="0" collapsed="false">
      <c r="A33" s="25" t="n">
        <v>28</v>
      </c>
      <c r="B33" s="26" t="n">
        <f aca="false">EDATE('Min gæld'!$C$16,27)</f>
        <v>47209</v>
      </c>
      <c r="C33" s="27" t="n">
        <f aca="false">N('Min gæld'!$C$15)+IF(N(G32)&lt;=0.005,N('Min gæld'!$E$5),0)+IF(N(K32)&lt;=0.005,N('Min gæld'!$E$6),0)+IF(N(O32)&lt;=0.005,N('Min gæld'!$E$7),0)+IF(N(S32)&lt;=0.005,N('Min gæld'!$E$8),0)+IF(N(W32)&lt;=0.005,N('Min gæld'!$E$9),0)+IF(N(AA32)&lt;=0.005,N('Min gæld'!$E$10),0)+IF(N(AE32)&lt;=0.005,N('Min gæld'!$E$11),0)+IF(N(AI32)&lt;=0.005,N('Min gæld'!$E$12),0)</f>
        <v>2300</v>
      </c>
      <c r="D33" s="27" t="n">
        <f aca="false">MAX(0,C33)</f>
        <v>2300</v>
      </c>
      <c r="E33" s="27" t="n">
        <f aca="false">IF(N(G32)&lt;=0.005,0,N(G32)*(1+N('Min gæld'!$D$5)/12))</f>
        <v>0</v>
      </c>
      <c r="F33" s="27" t="n">
        <f aca="false">IF(E33&lt;=0,0,MIN(E33,N('Min gæld'!$E$5)+D33))</f>
        <v>0</v>
      </c>
      <c r="G33" s="27" t="n">
        <f aca="false">IF(E33-F33&lt;0.005,0,E33-F33)</f>
        <v>0</v>
      </c>
      <c r="H33" s="27" t="n">
        <f aca="false">MAX(0,IF(N(G32)&lt;=0.005,D33,D33+N('Min gæld'!$E$5)-F33))</f>
        <v>2300</v>
      </c>
      <c r="I33" s="27" t="n">
        <f aca="false">IF(N(K32)&lt;=0.005,0,N(K32)*(1+N('Min gæld'!$D$6)/12))</f>
        <v>0</v>
      </c>
      <c r="J33" s="27" t="n">
        <f aca="false">IF(I33&lt;=0,0,MIN(I33,N('Min gæld'!$E$6)+H33))</f>
        <v>0</v>
      </c>
      <c r="K33" s="27" t="n">
        <f aca="false">IF(I33-J33&lt;0.005,0,I33-J33)</f>
        <v>0</v>
      </c>
      <c r="L33" s="27" t="n">
        <f aca="false">MAX(0,IF(N(K32)&lt;=0.005,H33,H33+N('Min gæld'!$E$6)-J33))</f>
        <v>2300</v>
      </c>
      <c r="M33" s="27" t="n">
        <f aca="false">IF(N(O32)&lt;=0.005,0,N(O32)*(1+N('Min gæld'!$D$7)/12))</f>
        <v>30299.878369351</v>
      </c>
      <c r="N33" s="27" t="n">
        <f aca="false">IF(M33&lt;=0,0,MIN(M33,N('Min gæld'!$E$7)+L33))</f>
        <v>4100</v>
      </c>
      <c r="O33" s="27" t="n">
        <f aca="false">IF(M33-N33&lt;0.005,0,M33-N33)</f>
        <v>26199.878369351</v>
      </c>
      <c r="P33" s="27" t="n">
        <f aca="false">MAX(0,IF(N(O32)&lt;=0.005,L33,L33+N('Min gæld'!$E$7)-N33))</f>
        <v>0</v>
      </c>
      <c r="Q33" s="27" t="n">
        <f aca="false">IF(N(S32)&lt;=0.005,0,N(S32)*(1+N('Min gæld'!$D$8)/12))</f>
        <v>46051.414688329</v>
      </c>
      <c r="R33" s="27" t="n">
        <f aca="false">IF(Q33&lt;=0,0,MIN(Q33,N('Min gæld'!$E$8)+P33))</f>
        <v>700</v>
      </c>
      <c r="S33" s="27" t="n">
        <f aca="false">IF(Q33-R33&lt;0.005,0,Q33-R33)</f>
        <v>45351.414688329</v>
      </c>
      <c r="T33" s="27" t="n">
        <f aca="false">MAX(0,IF(N(S32)&lt;=0.005,P33,P33+N('Min gæld'!$E$8)-R33))</f>
        <v>0</v>
      </c>
      <c r="U33" s="27" t="n">
        <f aca="false">IF(N(W32)&lt;=0.005,0,N(W32)*(1+N('Min gæld'!$D$9)/12))</f>
        <v>0</v>
      </c>
      <c r="V33" s="27" t="n">
        <f aca="false">IF(U33&lt;=0,0,MIN(U33,N('Min gæld'!$E$9)+T33))</f>
        <v>0</v>
      </c>
      <c r="W33" s="27" t="n">
        <f aca="false">IF(U33-V33&lt;0.005,0,U33-V33)</f>
        <v>0</v>
      </c>
      <c r="X33" s="27" t="n">
        <f aca="false">MAX(0,IF(N(W32)&lt;=0.005,T33,T33+N('Min gæld'!$E$9)-V33))</f>
        <v>0</v>
      </c>
      <c r="Y33" s="27" t="n">
        <f aca="false">IF(N(AA32)&lt;=0.005,0,N(AA32)*(1+N('Min gæld'!$D$10)/12))</f>
        <v>0</v>
      </c>
      <c r="Z33" s="27" t="n">
        <f aca="false">IF(Y33&lt;=0,0,MIN(Y33,N('Min gæld'!$E$10)+X33))</f>
        <v>0</v>
      </c>
      <c r="AA33" s="27" t="n">
        <f aca="false">IF(Y33-Z33&lt;0.005,0,Y33-Z33)</f>
        <v>0</v>
      </c>
      <c r="AB33" s="27" t="n">
        <f aca="false">MAX(0,IF(N(AA32)&lt;=0.005,X33,X33+N('Min gæld'!$E$10)-Z33))</f>
        <v>0</v>
      </c>
      <c r="AC33" s="27" t="n">
        <f aca="false">IF(N(AE32)&lt;=0.005,0,N(AE32)*(1+N('Min gæld'!$D$11)/12))</f>
        <v>0</v>
      </c>
      <c r="AD33" s="27" t="n">
        <f aca="false">IF(AC33&lt;=0,0,MIN(AC33,N('Min gæld'!$E$11)+AB33))</f>
        <v>0</v>
      </c>
      <c r="AE33" s="27" t="n">
        <f aca="false">IF(AC33-AD33&lt;0.005,0,AC33-AD33)</f>
        <v>0</v>
      </c>
      <c r="AF33" s="27" t="n">
        <f aca="false">MAX(0,IF(N(AE32)&lt;=0.005,AB33,AB33+N('Min gæld'!$E$11)-AD33))</f>
        <v>0</v>
      </c>
      <c r="AG33" s="27" t="n">
        <f aca="false">IF(N(AI32)&lt;=0.005,0,N(AI32)*(1+N('Min gæld'!$D$12)/12))</f>
        <v>0</v>
      </c>
      <c r="AH33" s="27" t="n">
        <f aca="false">IF(AG33&lt;=0,0,MIN(AG33,N('Min gæld'!$E$12)+AF33))</f>
        <v>0</v>
      </c>
      <c r="AI33" s="27" t="n">
        <f aca="false">IF(AG33-AH33&lt;0.005,0,AG33-AH33)</f>
        <v>0</v>
      </c>
      <c r="AJ33" s="27" t="n">
        <f aca="false">G33+K33+O33+S33+W33+AA33+AE33+AI33</f>
        <v>71551.29305768</v>
      </c>
      <c r="AK33" s="28" t="n">
        <f aca="false">IF(E33&gt;0,E33-N(G32),0)+IF(I33&gt;0,I33-N(K32),0)+IF(M33&gt;0,M33-N(O32),0)+IF(Q33&gt;0,Q33-N(S32),0)+IF(U33&gt;0,U33-N(W32),0)+IF(Y33&gt;0,Y33-N(AA32),0)+IF(AC33&gt;0,AC33-N(AE32),0)+IF(AG33&gt;0,AG33-N(AI32),0)</f>
        <v>291.235571866051</v>
      </c>
    </row>
    <row r="34" customFormat="false" ht="15" hidden="false" customHeight="false" outlineLevel="0" collapsed="false">
      <c r="A34" s="25" t="n">
        <v>29</v>
      </c>
      <c r="B34" s="26" t="n">
        <f aca="false">EDATE('Min gæld'!$C$16,28)</f>
        <v>47239</v>
      </c>
      <c r="C34" s="27" t="n">
        <f aca="false">N('Min gæld'!$C$15)+IF(N(G33)&lt;=0.005,N('Min gæld'!$E$5),0)+IF(N(K33)&lt;=0.005,N('Min gæld'!$E$6),0)+IF(N(O33)&lt;=0.005,N('Min gæld'!$E$7),0)+IF(N(S33)&lt;=0.005,N('Min gæld'!$E$8),0)+IF(N(W33)&lt;=0.005,N('Min gæld'!$E$9),0)+IF(N(AA33)&lt;=0.005,N('Min gæld'!$E$10),0)+IF(N(AE33)&lt;=0.005,N('Min gæld'!$E$11),0)+IF(N(AI33)&lt;=0.005,N('Min gæld'!$E$12),0)</f>
        <v>2300</v>
      </c>
      <c r="D34" s="27" t="n">
        <f aca="false">MAX(0,C34)</f>
        <v>2300</v>
      </c>
      <c r="E34" s="27" t="n">
        <f aca="false">IF(N(G33)&lt;=0.005,0,N(G33)*(1+N('Min gæld'!$D$5)/12))</f>
        <v>0</v>
      </c>
      <c r="F34" s="27" t="n">
        <f aca="false">IF(E34&lt;=0,0,MIN(E34,N('Min gæld'!$E$5)+D34))</f>
        <v>0</v>
      </c>
      <c r="G34" s="27" t="n">
        <f aca="false">IF(E34-F34&lt;0.005,0,E34-F34)</f>
        <v>0</v>
      </c>
      <c r="H34" s="27" t="n">
        <f aca="false">MAX(0,IF(N(G33)&lt;=0.005,D34,D34+N('Min gæld'!$E$5)-F34))</f>
        <v>2300</v>
      </c>
      <c r="I34" s="27" t="n">
        <f aca="false">IF(N(K33)&lt;=0.005,0,N(K33)*(1+N('Min gæld'!$D$6)/12))</f>
        <v>0</v>
      </c>
      <c r="J34" s="27" t="n">
        <f aca="false">IF(I34&lt;=0,0,MIN(I34,N('Min gæld'!$E$6)+H34))</f>
        <v>0</v>
      </c>
      <c r="K34" s="27" t="n">
        <f aca="false">IF(I34-J34&lt;0.005,0,I34-J34)</f>
        <v>0</v>
      </c>
      <c r="L34" s="27" t="n">
        <f aca="false">MAX(0,IF(N(K33)&lt;=0.005,H34,H34+N('Min gæld'!$E$6)-J34))</f>
        <v>2300</v>
      </c>
      <c r="M34" s="27" t="n">
        <f aca="false">IF(N(O33)&lt;=0.005,0,N(O33)*(1+N('Min gæld'!$D$7)/12))</f>
        <v>26319.9611452105</v>
      </c>
      <c r="N34" s="27" t="n">
        <f aca="false">IF(M34&lt;=0,0,MIN(M34,N('Min gæld'!$E$7)+L34))</f>
        <v>4100</v>
      </c>
      <c r="O34" s="27" t="n">
        <f aca="false">IF(M34-N34&lt;0.005,0,M34-N34)</f>
        <v>22219.9611452105</v>
      </c>
      <c r="P34" s="27" t="n">
        <f aca="false">MAX(0,IF(N(O33)&lt;=0.005,L34,L34+N('Min gæld'!$E$7)-N34))</f>
        <v>0</v>
      </c>
      <c r="Q34" s="27" t="n">
        <f aca="false">IF(N(S33)&lt;=0.005,0,N(S33)*(1+N('Min gæld'!$D$8)/12))</f>
        <v>45502.5860706234</v>
      </c>
      <c r="R34" s="27" t="n">
        <f aca="false">IF(Q34&lt;=0,0,MIN(Q34,N('Min gæld'!$E$8)+P34))</f>
        <v>700</v>
      </c>
      <c r="S34" s="27" t="n">
        <f aca="false">IF(Q34-R34&lt;0.005,0,Q34-R34)</f>
        <v>44802.5860706234</v>
      </c>
      <c r="T34" s="27" t="n">
        <f aca="false">MAX(0,IF(N(S33)&lt;=0.005,P34,P34+N('Min gæld'!$E$8)-R34))</f>
        <v>0</v>
      </c>
      <c r="U34" s="27" t="n">
        <f aca="false">IF(N(W33)&lt;=0.005,0,N(W33)*(1+N('Min gæld'!$D$9)/12))</f>
        <v>0</v>
      </c>
      <c r="V34" s="27" t="n">
        <f aca="false">IF(U34&lt;=0,0,MIN(U34,N('Min gæld'!$E$9)+T34))</f>
        <v>0</v>
      </c>
      <c r="W34" s="27" t="n">
        <f aca="false">IF(U34-V34&lt;0.005,0,U34-V34)</f>
        <v>0</v>
      </c>
      <c r="X34" s="27" t="n">
        <f aca="false">MAX(0,IF(N(W33)&lt;=0.005,T34,T34+N('Min gæld'!$E$9)-V34))</f>
        <v>0</v>
      </c>
      <c r="Y34" s="27" t="n">
        <f aca="false">IF(N(AA33)&lt;=0.005,0,N(AA33)*(1+N('Min gæld'!$D$10)/12))</f>
        <v>0</v>
      </c>
      <c r="Z34" s="27" t="n">
        <f aca="false">IF(Y34&lt;=0,0,MIN(Y34,N('Min gæld'!$E$10)+X34))</f>
        <v>0</v>
      </c>
      <c r="AA34" s="27" t="n">
        <f aca="false">IF(Y34-Z34&lt;0.005,0,Y34-Z34)</f>
        <v>0</v>
      </c>
      <c r="AB34" s="27" t="n">
        <f aca="false">MAX(0,IF(N(AA33)&lt;=0.005,X34,X34+N('Min gæld'!$E$10)-Z34))</f>
        <v>0</v>
      </c>
      <c r="AC34" s="27" t="n">
        <f aca="false">IF(N(AE33)&lt;=0.005,0,N(AE33)*(1+N('Min gæld'!$D$11)/12))</f>
        <v>0</v>
      </c>
      <c r="AD34" s="27" t="n">
        <f aca="false">IF(AC34&lt;=0,0,MIN(AC34,N('Min gæld'!$E$11)+AB34))</f>
        <v>0</v>
      </c>
      <c r="AE34" s="27" t="n">
        <f aca="false">IF(AC34-AD34&lt;0.005,0,AC34-AD34)</f>
        <v>0</v>
      </c>
      <c r="AF34" s="27" t="n">
        <f aca="false">MAX(0,IF(N(AE33)&lt;=0.005,AB34,AB34+N('Min gæld'!$E$11)-AD34))</f>
        <v>0</v>
      </c>
      <c r="AG34" s="27" t="n">
        <f aca="false">IF(N(AI33)&lt;=0.005,0,N(AI33)*(1+N('Min gæld'!$D$12)/12))</f>
        <v>0</v>
      </c>
      <c r="AH34" s="27" t="n">
        <f aca="false">IF(AG34&lt;=0,0,MIN(AG34,N('Min gæld'!$E$12)+AF34))</f>
        <v>0</v>
      </c>
      <c r="AI34" s="27" t="n">
        <f aca="false">IF(AG34-AH34&lt;0.005,0,AG34-AH34)</f>
        <v>0</v>
      </c>
      <c r="AJ34" s="27" t="n">
        <f aca="false">G34+K34+O34+S34+W34+AA34+AE34+AI34</f>
        <v>67022.547215834</v>
      </c>
      <c r="AK34" s="28" t="n">
        <f aca="false">IF(E34&gt;0,E34-N(G33),0)+IF(I34&gt;0,I34-N(K33),0)+IF(M34&gt;0,M34-N(O33),0)+IF(Q34&gt;0,Q34-N(S33),0)+IF(U34&gt;0,U34-N(W33),0)+IF(Y34&gt;0,Y34-N(AA33),0)+IF(AC34&gt;0,AC34-N(AE33),0)+IF(AG34&gt;0,AG34-N(AI33),0)</f>
        <v>271.254158153963</v>
      </c>
    </row>
    <row r="35" customFormat="false" ht="15" hidden="false" customHeight="false" outlineLevel="0" collapsed="false">
      <c r="A35" s="25" t="n">
        <v>30</v>
      </c>
      <c r="B35" s="26" t="n">
        <f aca="false">EDATE('Min gæld'!$C$16,29)</f>
        <v>47270</v>
      </c>
      <c r="C35" s="27" t="n">
        <f aca="false">N('Min gæld'!$C$15)+IF(N(G34)&lt;=0.005,N('Min gæld'!$E$5),0)+IF(N(K34)&lt;=0.005,N('Min gæld'!$E$6),0)+IF(N(O34)&lt;=0.005,N('Min gæld'!$E$7),0)+IF(N(S34)&lt;=0.005,N('Min gæld'!$E$8),0)+IF(N(W34)&lt;=0.005,N('Min gæld'!$E$9),0)+IF(N(AA34)&lt;=0.005,N('Min gæld'!$E$10),0)+IF(N(AE34)&lt;=0.005,N('Min gæld'!$E$11),0)+IF(N(AI34)&lt;=0.005,N('Min gæld'!$E$12),0)</f>
        <v>2300</v>
      </c>
      <c r="D35" s="27" t="n">
        <f aca="false">MAX(0,C35)</f>
        <v>2300</v>
      </c>
      <c r="E35" s="27" t="n">
        <f aca="false">IF(N(G34)&lt;=0.005,0,N(G34)*(1+N('Min gæld'!$D$5)/12))</f>
        <v>0</v>
      </c>
      <c r="F35" s="27" t="n">
        <f aca="false">IF(E35&lt;=0,0,MIN(E35,N('Min gæld'!$E$5)+D35))</f>
        <v>0</v>
      </c>
      <c r="G35" s="27" t="n">
        <f aca="false">IF(E35-F35&lt;0.005,0,E35-F35)</f>
        <v>0</v>
      </c>
      <c r="H35" s="27" t="n">
        <f aca="false">MAX(0,IF(N(G34)&lt;=0.005,D35,D35+N('Min gæld'!$E$5)-F35))</f>
        <v>2300</v>
      </c>
      <c r="I35" s="27" t="n">
        <f aca="false">IF(N(K34)&lt;=0.005,0,N(K34)*(1+N('Min gæld'!$D$6)/12))</f>
        <v>0</v>
      </c>
      <c r="J35" s="27" t="n">
        <f aca="false">IF(I35&lt;=0,0,MIN(I35,N('Min gæld'!$E$6)+H35))</f>
        <v>0</v>
      </c>
      <c r="K35" s="27" t="n">
        <f aca="false">IF(I35-J35&lt;0.005,0,I35-J35)</f>
        <v>0</v>
      </c>
      <c r="L35" s="27" t="n">
        <f aca="false">MAX(0,IF(N(K34)&lt;=0.005,H35,H35+N('Min gæld'!$E$6)-J35))</f>
        <v>2300</v>
      </c>
      <c r="M35" s="27" t="n">
        <f aca="false">IF(N(O34)&lt;=0.005,0,N(O34)*(1+N('Min gæld'!$D$7)/12))</f>
        <v>22321.8026337927</v>
      </c>
      <c r="N35" s="27" t="n">
        <f aca="false">IF(M35&lt;=0,0,MIN(M35,N('Min gæld'!$E$7)+L35))</f>
        <v>4100</v>
      </c>
      <c r="O35" s="27" t="n">
        <f aca="false">IF(M35-N35&lt;0.005,0,M35-N35)</f>
        <v>18221.8026337927</v>
      </c>
      <c r="P35" s="27" t="n">
        <f aca="false">MAX(0,IF(N(O34)&lt;=0.005,L35,L35+N('Min gæld'!$E$7)-N35))</f>
        <v>0</v>
      </c>
      <c r="Q35" s="27" t="n">
        <f aca="false">IF(N(S34)&lt;=0.005,0,N(S34)*(1+N('Min gæld'!$D$8)/12))</f>
        <v>44951.9280241922</v>
      </c>
      <c r="R35" s="27" t="n">
        <f aca="false">IF(Q35&lt;=0,0,MIN(Q35,N('Min gæld'!$E$8)+P35))</f>
        <v>700</v>
      </c>
      <c r="S35" s="27" t="n">
        <f aca="false">IF(Q35-R35&lt;0.005,0,Q35-R35)</f>
        <v>44251.9280241922</v>
      </c>
      <c r="T35" s="27" t="n">
        <f aca="false">MAX(0,IF(N(S34)&lt;=0.005,P35,P35+N('Min gæld'!$E$8)-R35))</f>
        <v>0</v>
      </c>
      <c r="U35" s="27" t="n">
        <f aca="false">IF(N(W34)&lt;=0.005,0,N(W34)*(1+N('Min gæld'!$D$9)/12))</f>
        <v>0</v>
      </c>
      <c r="V35" s="27" t="n">
        <f aca="false">IF(U35&lt;=0,0,MIN(U35,N('Min gæld'!$E$9)+T35))</f>
        <v>0</v>
      </c>
      <c r="W35" s="27" t="n">
        <f aca="false">IF(U35-V35&lt;0.005,0,U35-V35)</f>
        <v>0</v>
      </c>
      <c r="X35" s="27" t="n">
        <f aca="false">MAX(0,IF(N(W34)&lt;=0.005,T35,T35+N('Min gæld'!$E$9)-V35))</f>
        <v>0</v>
      </c>
      <c r="Y35" s="27" t="n">
        <f aca="false">IF(N(AA34)&lt;=0.005,0,N(AA34)*(1+N('Min gæld'!$D$10)/12))</f>
        <v>0</v>
      </c>
      <c r="Z35" s="27" t="n">
        <f aca="false">IF(Y35&lt;=0,0,MIN(Y35,N('Min gæld'!$E$10)+X35))</f>
        <v>0</v>
      </c>
      <c r="AA35" s="27" t="n">
        <f aca="false">IF(Y35-Z35&lt;0.005,0,Y35-Z35)</f>
        <v>0</v>
      </c>
      <c r="AB35" s="27" t="n">
        <f aca="false">MAX(0,IF(N(AA34)&lt;=0.005,X35,X35+N('Min gæld'!$E$10)-Z35))</f>
        <v>0</v>
      </c>
      <c r="AC35" s="27" t="n">
        <f aca="false">IF(N(AE34)&lt;=0.005,0,N(AE34)*(1+N('Min gæld'!$D$11)/12))</f>
        <v>0</v>
      </c>
      <c r="AD35" s="27" t="n">
        <f aca="false">IF(AC35&lt;=0,0,MIN(AC35,N('Min gæld'!$E$11)+AB35))</f>
        <v>0</v>
      </c>
      <c r="AE35" s="27" t="n">
        <f aca="false">IF(AC35-AD35&lt;0.005,0,AC35-AD35)</f>
        <v>0</v>
      </c>
      <c r="AF35" s="27" t="n">
        <f aca="false">MAX(0,IF(N(AE34)&lt;=0.005,AB35,AB35+N('Min gæld'!$E$11)-AD35))</f>
        <v>0</v>
      </c>
      <c r="AG35" s="27" t="n">
        <f aca="false">IF(N(AI34)&lt;=0.005,0,N(AI34)*(1+N('Min gæld'!$D$12)/12))</f>
        <v>0</v>
      </c>
      <c r="AH35" s="27" t="n">
        <f aca="false">IF(AG35&lt;=0,0,MIN(AG35,N('Min gæld'!$E$12)+AF35))</f>
        <v>0</v>
      </c>
      <c r="AI35" s="27" t="n">
        <f aca="false">IF(AG35-AH35&lt;0.005,0,AG35-AH35)</f>
        <v>0</v>
      </c>
      <c r="AJ35" s="27" t="n">
        <f aca="false">G35+K35+O35+S35+W35+AA35+AE35+AI35</f>
        <v>62473.7306579849</v>
      </c>
      <c r="AK35" s="28" t="n">
        <f aca="false">IF(E35&gt;0,E35-N(G34),0)+IF(I35&gt;0,I35-N(K34),0)+IF(M35&gt;0,M35-N(O34),0)+IF(Q35&gt;0,Q35-N(S34),0)+IF(U35&gt;0,U35-N(W34),0)+IF(Y35&gt;0,Y35-N(AA34),0)+IF(AC35&gt;0,AC35-N(AE34),0)+IF(AG35&gt;0,AG35-N(AI34),0)</f>
        <v>251.183442150967</v>
      </c>
    </row>
    <row r="36" customFormat="false" ht="15" hidden="false" customHeight="false" outlineLevel="0" collapsed="false">
      <c r="A36" s="25" t="n">
        <v>31</v>
      </c>
      <c r="B36" s="26" t="n">
        <f aca="false">EDATE('Min gæld'!$C$16,30)</f>
        <v>47300</v>
      </c>
      <c r="C36" s="27" t="n">
        <f aca="false">N('Min gæld'!$C$15)+IF(N(G35)&lt;=0.005,N('Min gæld'!$E$5),0)+IF(N(K35)&lt;=0.005,N('Min gæld'!$E$6),0)+IF(N(O35)&lt;=0.005,N('Min gæld'!$E$7),0)+IF(N(S35)&lt;=0.005,N('Min gæld'!$E$8),0)+IF(N(W35)&lt;=0.005,N('Min gæld'!$E$9),0)+IF(N(AA35)&lt;=0.005,N('Min gæld'!$E$10),0)+IF(N(AE35)&lt;=0.005,N('Min gæld'!$E$11),0)+IF(N(AI35)&lt;=0.005,N('Min gæld'!$E$12),0)</f>
        <v>2300</v>
      </c>
      <c r="D36" s="27" t="n">
        <f aca="false">MAX(0,C36)</f>
        <v>2300</v>
      </c>
      <c r="E36" s="27" t="n">
        <f aca="false">IF(N(G35)&lt;=0.005,0,N(G35)*(1+N('Min gæld'!$D$5)/12))</f>
        <v>0</v>
      </c>
      <c r="F36" s="27" t="n">
        <f aca="false">IF(E36&lt;=0,0,MIN(E36,N('Min gæld'!$E$5)+D36))</f>
        <v>0</v>
      </c>
      <c r="G36" s="27" t="n">
        <f aca="false">IF(E36-F36&lt;0.005,0,E36-F36)</f>
        <v>0</v>
      </c>
      <c r="H36" s="27" t="n">
        <f aca="false">MAX(0,IF(N(G35)&lt;=0.005,D36,D36+N('Min gæld'!$E$5)-F36))</f>
        <v>2300</v>
      </c>
      <c r="I36" s="27" t="n">
        <f aca="false">IF(N(K35)&lt;=0.005,0,N(K35)*(1+N('Min gæld'!$D$6)/12))</f>
        <v>0</v>
      </c>
      <c r="J36" s="27" t="n">
        <f aca="false">IF(I36&lt;=0,0,MIN(I36,N('Min gæld'!$E$6)+H36))</f>
        <v>0</v>
      </c>
      <c r="K36" s="27" t="n">
        <f aca="false">IF(I36-J36&lt;0.005,0,I36-J36)</f>
        <v>0</v>
      </c>
      <c r="L36" s="27" t="n">
        <f aca="false">MAX(0,IF(N(K35)&lt;=0.005,H36,H36+N('Min gæld'!$E$6)-J36))</f>
        <v>2300</v>
      </c>
      <c r="M36" s="27" t="n">
        <f aca="false">IF(N(O35)&lt;=0.005,0,N(O35)*(1+N('Min gæld'!$D$7)/12))</f>
        <v>18305.3192291976</v>
      </c>
      <c r="N36" s="27" t="n">
        <f aca="false">IF(M36&lt;=0,0,MIN(M36,N('Min gæld'!$E$7)+L36))</f>
        <v>4100</v>
      </c>
      <c r="O36" s="27" t="n">
        <f aca="false">IF(M36-N36&lt;0.005,0,M36-N36)</f>
        <v>14205.3192291976</v>
      </c>
      <c r="P36" s="27" t="n">
        <f aca="false">MAX(0,IF(N(O35)&lt;=0.005,L36,L36+N('Min gæld'!$E$7)-N36))</f>
        <v>0</v>
      </c>
      <c r="Q36" s="27" t="n">
        <f aca="false">IF(N(S35)&lt;=0.005,0,N(S35)*(1+N('Min gæld'!$D$8)/12))</f>
        <v>44399.4344509395</v>
      </c>
      <c r="R36" s="27" t="n">
        <f aca="false">IF(Q36&lt;=0,0,MIN(Q36,N('Min gæld'!$E$8)+P36))</f>
        <v>700</v>
      </c>
      <c r="S36" s="27" t="n">
        <f aca="false">IF(Q36-R36&lt;0.005,0,Q36-R36)</f>
        <v>43699.4344509395</v>
      </c>
      <c r="T36" s="27" t="n">
        <f aca="false">MAX(0,IF(N(S35)&lt;=0.005,P36,P36+N('Min gæld'!$E$8)-R36))</f>
        <v>0</v>
      </c>
      <c r="U36" s="27" t="n">
        <f aca="false">IF(N(W35)&lt;=0.005,0,N(W35)*(1+N('Min gæld'!$D$9)/12))</f>
        <v>0</v>
      </c>
      <c r="V36" s="27" t="n">
        <f aca="false">IF(U36&lt;=0,0,MIN(U36,N('Min gæld'!$E$9)+T36))</f>
        <v>0</v>
      </c>
      <c r="W36" s="27" t="n">
        <f aca="false">IF(U36-V36&lt;0.005,0,U36-V36)</f>
        <v>0</v>
      </c>
      <c r="X36" s="27" t="n">
        <f aca="false">MAX(0,IF(N(W35)&lt;=0.005,T36,T36+N('Min gæld'!$E$9)-V36))</f>
        <v>0</v>
      </c>
      <c r="Y36" s="27" t="n">
        <f aca="false">IF(N(AA35)&lt;=0.005,0,N(AA35)*(1+N('Min gæld'!$D$10)/12))</f>
        <v>0</v>
      </c>
      <c r="Z36" s="27" t="n">
        <f aca="false">IF(Y36&lt;=0,0,MIN(Y36,N('Min gæld'!$E$10)+X36))</f>
        <v>0</v>
      </c>
      <c r="AA36" s="27" t="n">
        <f aca="false">IF(Y36-Z36&lt;0.005,0,Y36-Z36)</f>
        <v>0</v>
      </c>
      <c r="AB36" s="27" t="n">
        <f aca="false">MAX(0,IF(N(AA35)&lt;=0.005,X36,X36+N('Min gæld'!$E$10)-Z36))</f>
        <v>0</v>
      </c>
      <c r="AC36" s="27" t="n">
        <f aca="false">IF(N(AE35)&lt;=0.005,0,N(AE35)*(1+N('Min gæld'!$D$11)/12))</f>
        <v>0</v>
      </c>
      <c r="AD36" s="27" t="n">
        <f aca="false">IF(AC36&lt;=0,0,MIN(AC36,N('Min gæld'!$E$11)+AB36))</f>
        <v>0</v>
      </c>
      <c r="AE36" s="27" t="n">
        <f aca="false">IF(AC36-AD36&lt;0.005,0,AC36-AD36)</f>
        <v>0</v>
      </c>
      <c r="AF36" s="27" t="n">
        <f aca="false">MAX(0,IF(N(AE35)&lt;=0.005,AB36,AB36+N('Min gæld'!$E$11)-AD36))</f>
        <v>0</v>
      </c>
      <c r="AG36" s="27" t="n">
        <f aca="false">IF(N(AI35)&lt;=0.005,0,N(AI35)*(1+N('Min gæld'!$D$12)/12))</f>
        <v>0</v>
      </c>
      <c r="AH36" s="27" t="n">
        <f aca="false">IF(AG36&lt;=0,0,MIN(AG36,N('Min gæld'!$E$12)+AF36))</f>
        <v>0</v>
      </c>
      <c r="AI36" s="27" t="n">
        <f aca="false">IF(AG36-AH36&lt;0.005,0,AG36-AH36)</f>
        <v>0</v>
      </c>
      <c r="AJ36" s="27" t="n">
        <f aca="false">G36+K36+O36+S36+W36+AA36+AE36+AI36</f>
        <v>57904.7536801371</v>
      </c>
      <c r="AK36" s="28" t="n">
        <f aca="false">IF(E36&gt;0,E36-N(G35),0)+IF(I36&gt;0,I36-N(K35),0)+IF(M36&gt;0,M36-N(O35),0)+IF(Q36&gt;0,Q36-N(S35),0)+IF(U36&gt;0,U36-N(W35),0)+IF(Y36&gt;0,Y36-N(AA35),0)+IF(AC36&gt;0,AC36-N(AE35),0)+IF(AG36&gt;0,AG36-N(AI35),0)</f>
        <v>231.023022152196</v>
      </c>
    </row>
    <row r="37" customFormat="false" ht="15" hidden="false" customHeight="false" outlineLevel="0" collapsed="false">
      <c r="A37" s="25" t="n">
        <v>32</v>
      </c>
      <c r="B37" s="26" t="n">
        <f aca="false">EDATE('Min gæld'!$C$16,31)</f>
        <v>47331</v>
      </c>
      <c r="C37" s="27" t="n">
        <f aca="false">N('Min gæld'!$C$15)+IF(N(G36)&lt;=0.005,N('Min gæld'!$E$5),0)+IF(N(K36)&lt;=0.005,N('Min gæld'!$E$6),0)+IF(N(O36)&lt;=0.005,N('Min gæld'!$E$7),0)+IF(N(S36)&lt;=0.005,N('Min gæld'!$E$8),0)+IF(N(W36)&lt;=0.005,N('Min gæld'!$E$9),0)+IF(N(AA36)&lt;=0.005,N('Min gæld'!$E$10),0)+IF(N(AE36)&lt;=0.005,N('Min gæld'!$E$11),0)+IF(N(AI36)&lt;=0.005,N('Min gæld'!$E$12),0)</f>
        <v>2300</v>
      </c>
      <c r="D37" s="27" t="n">
        <f aca="false">MAX(0,C37)</f>
        <v>2300</v>
      </c>
      <c r="E37" s="27" t="n">
        <f aca="false">IF(N(G36)&lt;=0.005,0,N(G36)*(1+N('Min gæld'!$D$5)/12))</f>
        <v>0</v>
      </c>
      <c r="F37" s="27" t="n">
        <f aca="false">IF(E37&lt;=0,0,MIN(E37,N('Min gæld'!$E$5)+D37))</f>
        <v>0</v>
      </c>
      <c r="G37" s="27" t="n">
        <f aca="false">IF(E37-F37&lt;0.005,0,E37-F37)</f>
        <v>0</v>
      </c>
      <c r="H37" s="27" t="n">
        <f aca="false">MAX(0,IF(N(G36)&lt;=0.005,D37,D37+N('Min gæld'!$E$5)-F37))</f>
        <v>2300</v>
      </c>
      <c r="I37" s="27" t="n">
        <f aca="false">IF(N(K36)&lt;=0.005,0,N(K36)*(1+N('Min gæld'!$D$6)/12))</f>
        <v>0</v>
      </c>
      <c r="J37" s="27" t="n">
        <f aca="false">IF(I37&lt;=0,0,MIN(I37,N('Min gæld'!$E$6)+H37))</f>
        <v>0</v>
      </c>
      <c r="K37" s="27" t="n">
        <f aca="false">IF(I37-J37&lt;0.005,0,I37-J37)</f>
        <v>0</v>
      </c>
      <c r="L37" s="27" t="n">
        <f aca="false">MAX(0,IF(N(K36)&lt;=0.005,H37,H37+N('Min gæld'!$E$6)-J37))</f>
        <v>2300</v>
      </c>
      <c r="M37" s="27" t="n">
        <f aca="false">IF(N(O36)&lt;=0.005,0,N(O36)*(1+N('Min gæld'!$D$7)/12))</f>
        <v>14270.4269423314</v>
      </c>
      <c r="N37" s="27" t="n">
        <f aca="false">IF(M37&lt;=0,0,MIN(M37,N('Min gæld'!$E$7)+L37))</f>
        <v>4100</v>
      </c>
      <c r="O37" s="27" t="n">
        <f aca="false">IF(M37-N37&lt;0.005,0,M37-N37)</f>
        <v>10170.4269423314</v>
      </c>
      <c r="P37" s="27" t="n">
        <f aca="false">MAX(0,IF(N(O36)&lt;=0.005,L37,L37+N('Min gæld'!$E$7)-N37))</f>
        <v>0</v>
      </c>
      <c r="Q37" s="27" t="n">
        <f aca="false">IF(N(S36)&lt;=0.005,0,N(S36)*(1+N('Min gæld'!$D$8)/12))</f>
        <v>43845.0992324426</v>
      </c>
      <c r="R37" s="27" t="n">
        <f aca="false">IF(Q37&lt;=0,0,MIN(Q37,N('Min gæld'!$E$8)+P37))</f>
        <v>700</v>
      </c>
      <c r="S37" s="27" t="n">
        <f aca="false">IF(Q37-R37&lt;0.005,0,Q37-R37)</f>
        <v>43145.0992324426</v>
      </c>
      <c r="T37" s="27" t="n">
        <f aca="false">MAX(0,IF(N(S36)&lt;=0.005,P37,P37+N('Min gæld'!$E$8)-R37))</f>
        <v>0</v>
      </c>
      <c r="U37" s="27" t="n">
        <f aca="false">IF(N(W36)&lt;=0.005,0,N(W36)*(1+N('Min gæld'!$D$9)/12))</f>
        <v>0</v>
      </c>
      <c r="V37" s="27" t="n">
        <f aca="false">IF(U37&lt;=0,0,MIN(U37,N('Min gæld'!$E$9)+T37))</f>
        <v>0</v>
      </c>
      <c r="W37" s="27" t="n">
        <f aca="false">IF(U37-V37&lt;0.005,0,U37-V37)</f>
        <v>0</v>
      </c>
      <c r="X37" s="27" t="n">
        <f aca="false">MAX(0,IF(N(W36)&lt;=0.005,T37,T37+N('Min gæld'!$E$9)-V37))</f>
        <v>0</v>
      </c>
      <c r="Y37" s="27" t="n">
        <f aca="false">IF(N(AA36)&lt;=0.005,0,N(AA36)*(1+N('Min gæld'!$D$10)/12))</f>
        <v>0</v>
      </c>
      <c r="Z37" s="27" t="n">
        <f aca="false">IF(Y37&lt;=0,0,MIN(Y37,N('Min gæld'!$E$10)+X37))</f>
        <v>0</v>
      </c>
      <c r="AA37" s="27" t="n">
        <f aca="false">IF(Y37-Z37&lt;0.005,0,Y37-Z37)</f>
        <v>0</v>
      </c>
      <c r="AB37" s="27" t="n">
        <f aca="false">MAX(0,IF(N(AA36)&lt;=0.005,X37,X37+N('Min gæld'!$E$10)-Z37))</f>
        <v>0</v>
      </c>
      <c r="AC37" s="27" t="n">
        <f aca="false">IF(N(AE36)&lt;=0.005,0,N(AE36)*(1+N('Min gæld'!$D$11)/12))</f>
        <v>0</v>
      </c>
      <c r="AD37" s="27" t="n">
        <f aca="false">IF(AC37&lt;=0,0,MIN(AC37,N('Min gæld'!$E$11)+AB37))</f>
        <v>0</v>
      </c>
      <c r="AE37" s="27" t="n">
        <f aca="false">IF(AC37-AD37&lt;0.005,0,AC37-AD37)</f>
        <v>0</v>
      </c>
      <c r="AF37" s="27" t="n">
        <f aca="false">MAX(0,IF(N(AE36)&lt;=0.005,AB37,AB37+N('Min gæld'!$E$11)-AD37))</f>
        <v>0</v>
      </c>
      <c r="AG37" s="27" t="n">
        <f aca="false">IF(N(AI36)&lt;=0.005,0,N(AI36)*(1+N('Min gæld'!$D$12)/12))</f>
        <v>0</v>
      </c>
      <c r="AH37" s="27" t="n">
        <f aca="false">IF(AG37&lt;=0,0,MIN(AG37,N('Min gæld'!$E$12)+AF37))</f>
        <v>0</v>
      </c>
      <c r="AI37" s="27" t="n">
        <f aca="false">IF(AG37-AH37&lt;0.005,0,AG37-AH37)</f>
        <v>0</v>
      </c>
      <c r="AJ37" s="27" t="n">
        <f aca="false">G37+K37+O37+S37+W37+AA37+AE37+AI37</f>
        <v>53315.5261747741</v>
      </c>
      <c r="AK37" s="28" t="n">
        <f aca="false">IF(E37&gt;0,E37-N(G36),0)+IF(I37&gt;0,I37-N(K36),0)+IF(M37&gt;0,M37-N(O36),0)+IF(Q37&gt;0,Q37-N(S36),0)+IF(U37&gt;0,U37-N(W36),0)+IF(Y37&gt;0,Y37-N(AA36),0)+IF(AC37&gt;0,AC37-N(AE36),0)+IF(AG37&gt;0,AG37-N(AI36),0)</f>
        <v>210.772494636954</v>
      </c>
    </row>
    <row r="38" customFormat="false" ht="15" hidden="false" customHeight="false" outlineLevel="0" collapsed="false">
      <c r="A38" s="25" t="n">
        <v>33</v>
      </c>
      <c r="B38" s="26" t="n">
        <f aca="false">EDATE('Min gæld'!$C$16,32)</f>
        <v>47362</v>
      </c>
      <c r="C38" s="27" t="n">
        <f aca="false">N('Min gæld'!$C$15)+IF(N(G37)&lt;=0.005,N('Min gæld'!$E$5),0)+IF(N(K37)&lt;=0.005,N('Min gæld'!$E$6),0)+IF(N(O37)&lt;=0.005,N('Min gæld'!$E$7),0)+IF(N(S37)&lt;=0.005,N('Min gæld'!$E$8),0)+IF(N(W37)&lt;=0.005,N('Min gæld'!$E$9),0)+IF(N(AA37)&lt;=0.005,N('Min gæld'!$E$10),0)+IF(N(AE37)&lt;=0.005,N('Min gæld'!$E$11),0)+IF(N(AI37)&lt;=0.005,N('Min gæld'!$E$12),0)</f>
        <v>2300</v>
      </c>
      <c r="D38" s="27" t="n">
        <f aca="false">MAX(0,C38)</f>
        <v>2300</v>
      </c>
      <c r="E38" s="27" t="n">
        <f aca="false">IF(N(G37)&lt;=0.005,0,N(G37)*(1+N('Min gæld'!$D$5)/12))</f>
        <v>0</v>
      </c>
      <c r="F38" s="27" t="n">
        <f aca="false">IF(E38&lt;=0,0,MIN(E38,N('Min gæld'!$E$5)+D38))</f>
        <v>0</v>
      </c>
      <c r="G38" s="27" t="n">
        <f aca="false">IF(E38-F38&lt;0.005,0,E38-F38)</f>
        <v>0</v>
      </c>
      <c r="H38" s="27" t="n">
        <f aca="false">MAX(0,IF(N(G37)&lt;=0.005,D38,D38+N('Min gæld'!$E$5)-F38))</f>
        <v>2300</v>
      </c>
      <c r="I38" s="27" t="n">
        <f aca="false">IF(N(K37)&lt;=0.005,0,N(K37)*(1+N('Min gæld'!$D$6)/12))</f>
        <v>0</v>
      </c>
      <c r="J38" s="27" t="n">
        <f aca="false">IF(I38&lt;=0,0,MIN(I38,N('Min gæld'!$E$6)+H38))</f>
        <v>0</v>
      </c>
      <c r="K38" s="27" t="n">
        <f aca="false">IF(I38-J38&lt;0.005,0,I38-J38)</f>
        <v>0</v>
      </c>
      <c r="L38" s="27" t="n">
        <f aca="false">MAX(0,IF(N(K37)&lt;=0.005,H38,H38+N('Min gæld'!$E$6)-J38))</f>
        <v>2300</v>
      </c>
      <c r="M38" s="27" t="n">
        <f aca="false">IF(N(O37)&lt;=0.005,0,N(O37)*(1+N('Min gæld'!$D$7)/12))</f>
        <v>10217.0413991505</v>
      </c>
      <c r="N38" s="27" t="n">
        <f aca="false">IF(M38&lt;=0,0,MIN(M38,N('Min gæld'!$E$7)+L38))</f>
        <v>4100</v>
      </c>
      <c r="O38" s="27" t="n">
        <f aca="false">IF(M38-N38&lt;0.005,0,M38-N38)</f>
        <v>6117.04139915047</v>
      </c>
      <c r="P38" s="27" t="n">
        <f aca="false">MAX(0,IF(N(O37)&lt;=0.005,L38,L38+N('Min gæld'!$E$7)-N38))</f>
        <v>0</v>
      </c>
      <c r="Q38" s="27" t="n">
        <f aca="false">IF(N(S37)&lt;=0.005,0,N(S37)*(1+N('Min gæld'!$D$8)/12))</f>
        <v>43288.9162298841</v>
      </c>
      <c r="R38" s="27" t="n">
        <f aca="false">IF(Q38&lt;=0,0,MIN(Q38,N('Min gæld'!$E$8)+P38))</f>
        <v>700</v>
      </c>
      <c r="S38" s="27" t="n">
        <f aca="false">IF(Q38-R38&lt;0.005,0,Q38-R38)</f>
        <v>42588.9162298841</v>
      </c>
      <c r="T38" s="27" t="n">
        <f aca="false">MAX(0,IF(N(S37)&lt;=0.005,P38,P38+N('Min gæld'!$E$8)-R38))</f>
        <v>0</v>
      </c>
      <c r="U38" s="27" t="n">
        <f aca="false">IF(N(W37)&lt;=0.005,0,N(W37)*(1+N('Min gæld'!$D$9)/12))</f>
        <v>0</v>
      </c>
      <c r="V38" s="27" t="n">
        <f aca="false">IF(U38&lt;=0,0,MIN(U38,N('Min gæld'!$E$9)+T38))</f>
        <v>0</v>
      </c>
      <c r="W38" s="27" t="n">
        <f aca="false">IF(U38-V38&lt;0.005,0,U38-V38)</f>
        <v>0</v>
      </c>
      <c r="X38" s="27" t="n">
        <f aca="false">MAX(0,IF(N(W37)&lt;=0.005,T38,T38+N('Min gæld'!$E$9)-V38))</f>
        <v>0</v>
      </c>
      <c r="Y38" s="27" t="n">
        <f aca="false">IF(N(AA37)&lt;=0.005,0,N(AA37)*(1+N('Min gæld'!$D$10)/12))</f>
        <v>0</v>
      </c>
      <c r="Z38" s="27" t="n">
        <f aca="false">IF(Y38&lt;=0,0,MIN(Y38,N('Min gæld'!$E$10)+X38))</f>
        <v>0</v>
      </c>
      <c r="AA38" s="27" t="n">
        <f aca="false">IF(Y38-Z38&lt;0.005,0,Y38-Z38)</f>
        <v>0</v>
      </c>
      <c r="AB38" s="27" t="n">
        <f aca="false">MAX(0,IF(N(AA37)&lt;=0.005,X38,X38+N('Min gæld'!$E$10)-Z38))</f>
        <v>0</v>
      </c>
      <c r="AC38" s="27" t="n">
        <f aca="false">IF(N(AE37)&lt;=0.005,0,N(AE37)*(1+N('Min gæld'!$D$11)/12))</f>
        <v>0</v>
      </c>
      <c r="AD38" s="27" t="n">
        <f aca="false">IF(AC38&lt;=0,0,MIN(AC38,N('Min gæld'!$E$11)+AB38))</f>
        <v>0</v>
      </c>
      <c r="AE38" s="27" t="n">
        <f aca="false">IF(AC38-AD38&lt;0.005,0,AC38-AD38)</f>
        <v>0</v>
      </c>
      <c r="AF38" s="27" t="n">
        <f aca="false">MAX(0,IF(N(AE37)&lt;=0.005,AB38,AB38+N('Min gæld'!$E$11)-AD38))</f>
        <v>0</v>
      </c>
      <c r="AG38" s="27" t="n">
        <f aca="false">IF(N(AI37)&lt;=0.005,0,N(AI37)*(1+N('Min gæld'!$D$12)/12))</f>
        <v>0</v>
      </c>
      <c r="AH38" s="27" t="n">
        <f aca="false">IF(AG38&lt;=0,0,MIN(AG38,N('Min gæld'!$E$12)+AF38))</f>
        <v>0</v>
      </c>
      <c r="AI38" s="27" t="n">
        <f aca="false">IF(AG38-AH38&lt;0.005,0,AG38-AH38)</f>
        <v>0</v>
      </c>
      <c r="AJ38" s="27" t="n">
        <f aca="false">G38+K38+O38+S38+W38+AA38+AE38+AI38</f>
        <v>48705.9576290346</v>
      </c>
      <c r="AK38" s="28" t="n">
        <f aca="false">IF(E38&gt;0,E38-N(G37),0)+IF(I38&gt;0,I38-N(K37),0)+IF(M38&gt;0,M38-N(O37),0)+IF(Q38&gt;0,Q38-N(S37),0)+IF(U38&gt;0,U38-N(W37),0)+IF(Y38&gt;0,Y38-N(AA37),0)+IF(AC38&gt;0,AC38-N(AE37),0)+IF(AG38&gt;0,AG38-N(AI37),0)</f>
        <v>190.431454260497</v>
      </c>
    </row>
    <row r="39" customFormat="false" ht="15" hidden="false" customHeight="false" outlineLevel="0" collapsed="false">
      <c r="A39" s="25" t="n">
        <v>34</v>
      </c>
      <c r="B39" s="26" t="n">
        <f aca="false">EDATE('Min gæld'!$C$16,33)</f>
        <v>47392</v>
      </c>
      <c r="C39" s="27" t="n">
        <f aca="false">N('Min gæld'!$C$15)+IF(N(G38)&lt;=0.005,N('Min gæld'!$E$5),0)+IF(N(K38)&lt;=0.005,N('Min gæld'!$E$6),0)+IF(N(O38)&lt;=0.005,N('Min gæld'!$E$7),0)+IF(N(S38)&lt;=0.005,N('Min gæld'!$E$8),0)+IF(N(W38)&lt;=0.005,N('Min gæld'!$E$9),0)+IF(N(AA38)&lt;=0.005,N('Min gæld'!$E$10),0)+IF(N(AE38)&lt;=0.005,N('Min gæld'!$E$11),0)+IF(N(AI38)&lt;=0.005,N('Min gæld'!$E$12),0)</f>
        <v>2300</v>
      </c>
      <c r="D39" s="27" t="n">
        <f aca="false">MAX(0,C39)</f>
        <v>2300</v>
      </c>
      <c r="E39" s="27" t="n">
        <f aca="false">IF(N(G38)&lt;=0.005,0,N(G38)*(1+N('Min gæld'!$D$5)/12))</f>
        <v>0</v>
      </c>
      <c r="F39" s="27" t="n">
        <f aca="false">IF(E39&lt;=0,0,MIN(E39,N('Min gæld'!$E$5)+D39))</f>
        <v>0</v>
      </c>
      <c r="G39" s="27" t="n">
        <f aca="false">IF(E39-F39&lt;0.005,0,E39-F39)</f>
        <v>0</v>
      </c>
      <c r="H39" s="27" t="n">
        <f aca="false">MAX(0,IF(N(G38)&lt;=0.005,D39,D39+N('Min gæld'!$E$5)-F39))</f>
        <v>2300</v>
      </c>
      <c r="I39" s="27" t="n">
        <f aca="false">IF(N(K38)&lt;=0.005,0,N(K38)*(1+N('Min gæld'!$D$6)/12))</f>
        <v>0</v>
      </c>
      <c r="J39" s="27" t="n">
        <f aca="false">IF(I39&lt;=0,0,MIN(I39,N('Min gæld'!$E$6)+H39))</f>
        <v>0</v>
      </c>
      <c r="K39" s="27" t="n">
        <f aca="false">IF(I39-J39&lt;0.005,0,I39-J39)</f>
        <v>0</v>
      </c>
      <c r="L39" s="27" t="n">
        <f aca="false">MAX(0,IF(N(K38)&lt;=0.005,H39,H39+N('Min gæld'!$E$6)-J39))</f>
        <v>2300</v>
      </c>
      <c r="M39" s="27" t="n">
        <f aca="false">IF(N(O38)&lt;=0.005,0,N(O38)*(1+N('Min gæld'!$D$7)/12))</f>
        <v>6145.07783889658</v>
      </c>
      <c r="N39" s="27" t="n">
        <f aca="false">IF(M39&lt;=0,0,MIN(M39,N('Min gæld'!$E$7)+L39))</f>
        <v>4100</v>
      </c>
      <c r="O39" s="27" t="n">
        <f aca="false">IF(M39-N39&lt;0.005,0,M39-N39)</f>
        <v>2045.07783889657</v>
      </c>
      <c r="P39" s="27" t="n">
        <f aca="false">MAX(0,IF(N(O38)&lt;=0.005,L39,L39+N('Min gæld'!$E$7)-N39))</f>
        <v>0</v>
      </c>
      <c r="Q39" s="27" t="n">
        <f aca="false">IF(N(S38)&lt;=0.005,0,N(S38)*(1+N('Min gæld'!$D$8)/12))</f>
        <v>42730.8792839837</v>
      </c>
      <c r="R39" s="27" t="n">
        <f aca="false">IF(Q39&lt;=0,0,MIN(Q39,N('Min gæld'!$E$8)+P39))</f>
        <v>700</v>
      </c>
      <c r="S39" s="27" t="n">
        <f aca="false">IF(Q39-R39&lt;0.005,0,Q39-R39)</f>
        <v>42030.8792839837</v>
      </c>
      <c r="T39" s="27" t="n">
        <f aca="false">MAX(0,IF(N(S38)&lt;=0.005,P39,P39+N('Min gæld'!$E$8)-R39))</f>
        <v>0</v>
      </c>
      <c r="U39" s="27" t="n">
        <f aca="false">IF(N(W38)&lt;=0.005,0,N(W38)*(1+N('Min gæld'!$D$9)/12))</f>
        <v>0</v>
      </c>
      <c r="V39" s="27" t="n">
        <f aca="false">IF(U39&lt;=0,0,MIN(U39,N('Min gæld'!$E$9)+T39))</f>
        <v>0</v>
      </c>
      <c r="W39" s="27" t="n">
        <f aca="false">IF(U39-V39&lt;0.005,0,U39-V39)</f>
        <v>0</v>
      </c>
      <c r="X39" s="27" t="n">
        <f aca="false">MAX(0,IF(N(W38)&lt;=0.005,T39,T39+N('Min gæld'!$E$9)-V39))</f>
        <v>0</v>
      </c>
      <c r="Y39" s="27" t="n">
        <f aca="false">IF(N(AA38)&lt;=0.005,0,N(AA38)*(1+N('Min gæld'!$D$10)/12))</f>
        <v>0</v>
      </c>
      <c r="Z39" s="27" t="n">
        <f aca="false">IF(Y39&lt;=0,0,MIN(Y39,N('Min gæld'!$E$10)+X39))</f>
        <v>0</v>
      </c>
      <c r="AA39" s="27" t="n">
        <f aca="false">IF(Y39-Z39&lt;0.005,0,Y39-Z39)</f>
        <v>0</v>
      </c>
      <c r="AB39" s="27" t="n">
        <f aca="false">MAX(0,IF(N(AA38)&lt;=0.005,X39,X39+N('Min gæld'!$E$10)-Z39))</f>
        <v>0</v>
      </c>
      <c r="AC39" s="27" t="n">
        <f aca="false">IF(N(AE38)&lt;=0.005,0,N(AE38)*(1+N('Min gæld'!$D$11)/12))</f>
        <v>0</v>
      </c>
      <c r="AD39" s="27" t="n">
        <f aca="false">IF(AC39&lt;=0,0,MIN(AC39,N('Min gæld'!$E$11)+AB39))</f>
        <v>0</v>
      </c>
      <c r="AE39" s="27" t="n">
        <f aca="false">IF(AC39-AD39&lt;0.005,0,AC39-AD39)</f>
        <v>0</v>
      </c>
      <c r="AF39" s="27" t="n">
        <f aca="false">MAX(0,IF(N(AE38)&lt;=0.005,AB39,AB39+N('Min gæld'!$E$11)-AD39))</f>
        <v>0</v>
      </c>
      <c r="AG39" s="27" t="n">
        <f aca="false">IF(N(AI38)&lt;=0.005,0,N(AI38)*(1+N('Min gæld'!$D$12)/12))</f>
        <v>0</v>
      </c>
      <c r="AH39" s="27" t="n">
        <f aca="false">IF(AG39&lt;=0,0,MIN(AG39,N('Min gæld'!$E$12)+AF39))</f>
        <v>0</v>
      </c>
      <c r="AI39" s="27" t="n">
        <f aca="false">IF(AG39-AH39&lt;0.005,0,AG39-AH39)</f>
        <v>0</v>
      </c>
      <c r="AJ39" s="27" t="n">
        <f aca="false">G39+K39+O39+S39+W39+AA39+AE39+AI39</f>
        <v>44075.9571228803</v>
      </c>
      <c r="AK39" s="28" t="n">
        <f aca="false">IF(E39&gt;0,E39-N(G38),0)+IF(I39&gt;0,I39-N(K38),0)+IF(M39&gt;0,M39-N(O38),0)+IF(Q39&gt;0,Q39-N(S38),0)+IF(U39&gt;0,U39-N(W38),0)+IF(Y39&gt;0,Y39-N(AA38),0)+IF(AC39&gt;0,AC39-N(AE38),0)+IF(AG39&gt;0,AG39-N(AI38),0)</f>
        <v>169.999493845721</v>
      </c>
    </row>
    <row r="40" customFormat="false" ht="15" hidden="false" customHeight="false" outlineLevel="0" collapsed="false">
      <c r="A40" s="25" t="n">
        <v>35</v>
      </c>
      <c r="B40" s="26" t="n">
        <f aca="false">EDATE('Min gæld'!$C$16,34)</f>
        <v>47423</v>
      </c>
      <c r="C40" s="27" t="n">
        <f aca="false">N('Min gæld'!$C$15)+IF(N(G39)&lt;=0.005,N('Min gæld'!$E$5),0)+IF(N(K39)&lt;=0.005,N('Min gæld'!$E$6),0)+IF(N(O39)&lt;=0.005,N('Min gæld'!$E$7),0)+IF(N(S39)&lt;=0.005,N('Min gæld'!$E$8),0)+IF(N(W39)&lt;=0.005,N('Min gæld'!$E$9),0)+IF(N(AA39)&lt;=0.005,N('Min gæld'!$E$10),0)+IF(N(AE39)&lt;=0.005,N('Min gæld'!$E$11),0)+IF(N(AI39)&lt;=0.005,N('Min gæld'!$E$12),0)</f>
        <v>2300</v>
      </c>
      <c r="D40" s="27" t="n">
        <f aca="false">MAX(0,C40)</f>
        <v>2300</v>
      </c>
      <c r="E40" s="27" t="n">
        <f aca="false">IF(N(G39)&lt;=0.005,0,N(G39)*(1+N('Min gæld'!$D$5)/12))</f>
        <v>0</v>
      </c>
      <c r="F40" s="27" t="n">
        <f aca="false">IF(E40&lt;=0,0,MIN(E40,N('Min gæld'!$E$5)+D40))</f>
        <v>0</v>
      </c>
      <c r="G40" s="27" t="n">
        <f aca="false">IF(E40-F40&lt;0.005,0,E40-F40)</f>
        <v>0</v>
      </c>
      <c r="H40" s="27" t="n">
        <f aca="false">MAX(0,IF(N(G39)&lt;=0.005,D40,D40+N('Min gæld'!$E$5)-F40))</f>
        <v>2300</v>
      </c>
      <c r="I40" s="27" t="n">
        <f aca="false">IF(N(K39)&lt;=0.005,0,N(K39)*(1+N('Min gæld'!$D$6)/12))</f>
        <v>0</v>
      </c>
      <c r="J40" s="27" t="n">
        <f aca="false">IF(I40&lt;=0,0,MIN(I40,N('Min gæld'!$E$6)+H40))</f>
        <v>0</v>
      </c>
      <c r="K40" s="27" t="n">
        <f aca="false">IF(I40-J40&lt;0.005,0,I40-J40)</f>
        <v>0</v>
      </c>
      <c r="L40" s="27" t="n">
        <f aca="false">MAX(0,IF(N(K39)&lt;=0.005,H40,H40+N('Min gæld'!$E$6)-J40))</f>
        <v>2300</v>
      </c>
      <c r="M40" s="27" t="n">
        <f aca="false">IF(N(O39)&lt;=0.005,0,N(O39)*(1+N('Min gæld'!$D$7)/12))</f>
        <v>2054.45111232485</v>
      </c>
      <c r="N40" s="27" t="n">
        <f aca="false">IF(M40&lt;=0,0,MIN(M40,N('Min gæld'!$E$7)+L40))</f>
        <v>2054.45111232485</v>
      </c>
      <c r="O40" s="27" t="n">
        <f aca="false">IF(M40-N40&lt;0.005,0,M40-N40)</f>
        <v>0</v>
      </c>
      <c r="P40" s="27" t="n">
        <f aca="false">MAX(0,IF(N(O39)&lt;=0.005,L40,L40+N('Min gæld'!$E$7)-N40))</f>
        <v>2045.54888767515</v>
      </c>
      <c r="Q40" s="27" t="n">
        <f aca="false">IF(N(S39)&lt;=0.005,0,N(S39)*(1+N('Min gæld'!$D$8)/12))</f>
        <v>42170.9822149303</v>
      </c>
      <c r="R40" s="27" t="n">
        <f aca="false">IF(Q40&lt;=0,0,MIN(Q40,N('Min gæld'!$E$8)+P40))</f>
        <v>2745.54888767515</v>
      </c>
      <c r="S40" s="27" t="n">
        <f aca="false">IF(Q40-R40&lt;0.005,0,Q40-R40)</f>
        <v>39425.4333272552</v>
      </c>
      <c r="T40" s="27" t="n">
        <f aca="false">MAX(0,IF(N(S39)&lt;=0.005,P40,P40+N('Min gæld'!$E$8)-R40))</f>
        <v>0</v>
      </c>
      <c r="U40" s="27" t="n">
        <f aca="false">IF(N(W39)&lt;=0.005,0,N(W39)*(1+N('Min gæld'!$D$9)/12))</f>
        <v>0</v>
      </c>
      <c r="V40" s="27" t="n">
        <f aca="false">IF(U40&lt;=0,0,MIN(U40,N('Min gæld'!$E$9)+T40))</f>
        <v>0</v>
      </c>
      <c r="W40" s="27" t="n">
        <f aca="false">IF(U40-V40&lt;0.005,0,U40-V40)</f>
        <v>0</v>
      </c>
      <c r="X40" s="27" t="n">
        <f aca="false">MAX(0,IF(N(W39)&lt;=0.005,T40,T40+N('Min gæld'!$E$9)-V40))</f>
        <v>0</v>
      </c>
      <c r="Y40" s="27" t="n">
        <f aca="false">IF(N(AA39)&lt;=0.005,0,N(AA39)*(1+N('Min gæld'!$D$10)/12))</f>
        <v>0</v>
      </c>
      <c r="Z40" s="27" t="n">
        <f aca="false">IF(Y40&lt;=0,0,MIN(Y40,N('Min gæld'!$E$10)+X40))</f>
        <v>0</v>
      </c>
      <c r="AA40" s="27" t="n">
        <f aca="false">IF(Y40-Z40&lt;0.005,0,Y40-Z40)</f>
        <v>0</v>
      </c>
      <c r="AB40" s="27" t="n">
        <f aca="false">MAX(0,IF(N(AA39)&lt;=0.005,X40,X40+N('Min gæld'!$E$10)-Z40))</f>
        <v>0</v>
      </c>
      <c r="AC40" s="27" t="n">
        <f aca="false">IF(N(AE39)&lt;=0.005,0,N(AE39)*(1+N('Min gæld'!$D$11)/12))</f>
        <v>0</v>
      </c>
      <c r="AD40" s="27" t="n">
        <f aca="false">IF(AC40&lt;=0,0,MIN(AC40,N('Min gæld'!$E$11)+AB40))</f>
        <v>0</v>
      </c>
      <c r="AE40" s="27" t="n">
        <f aca="false">IF(AC40-AD40&lt;0.005,0,AC40-AD40)</f>
        <v>0</v>
      </c>
      <c r="AF40" s="27" t="n">
        <f aca="false">MAX(0,IF(N(AE39)&lt;=0.005,AB40,AB40+N('Min gæld'!$E$11)-AD40))</f>
        <v>0</v>
      </c>
      <c r="AG40" s="27" t="n">
        <f aca="false">IF(N(AI39)&lt;=0.005,0,N(AI39)*(1+N('Min gæld'!$D$12)/12))</f>
        <v>0</v>
      </c>
      <c r="AH40" s="27" t="n">
        <f aca="false">IF(AG40&lt;=0,0,MIN(AG40,N('Min gæld'!$E$12)+AF40))</f>
        <v>0</v>
      </c>
      <c r="AI40" s="27" t="n">
        <f aca="false">IF(AG40-AH40&lt;0.005,0,AG40-AH40)</f>
        <v>0</v>
      </c>
      <c r="AJ40" s="27" t="n">
        <f aca="false">G40+K40+O40+S40+W40+AA40+AE40+AI40</f>
        <v>39425.4333272552</v>
      </c>
      <c r="AK40" s="28" t="n">
        <f aca="false">IF(E40&gt;0,E40-N(G39),0)+IF(I40&gt;0,I40-N(K39),0)+IF(M40&gt;0,M40-N(O39),0)+IF(Q40&gt;0,Q40-N(S39),0)+IF(U40&gt;0,U40-N(W39),0)+IF(Y40&gt;0,Y40-N(AA39),0)+IF(AC40&gt;0,AC40-N(AE39),0)+IF(AG40&gt;0,AG40-N(AI39),0)</f>
        <v>149.476204374894</v>
      </c>
    </row>
    <row r="41" customFormat="false" ht="15" hidden="false" customHeight="false" outlineLevel="0" collapsed="false">
      <c r="A41" s="25" t="n">
        <v>36</v>
      </c>
      <c r="B41" s="26" t="n">
        <f aca="false">EDATE('Min gæld'!$C$16,35)</f>
        <v>47453</v>
      </c>
      <c r="C41" s="27" t="n">
        <f aca="false">N('Min gæld'!$C$15)+IF(N(G40)&lt;=0.005,N('Min gæld'!$E$5),0)+IF(N(K40)&lt;=0.005,N('Min gæld'!$E$6),0)+IF(N(O40)&lt;=0.005,N('Min gæld'!$E$7),0)+IF(N(S40)&lt;=0.005,N('Min gæld'!$E$8),0)+IF(N(W40)&lt;=0.005,N('Min gæld'!$E$9),0)+IF(N(AA40)&lt;=0.005,N('Min gæld'!$E$10),0)+IF(N(AE40)&lt;=0.005,N('Min gæld'!$E$11),0)+IF(N(AI40)&lt;=0.005,N('Min gæld'!$E$12),0)</f>
        <v>4100</v>
      </c>
      <c r="D41" s="27" t="n">
        <f aca="false">MAX(0,C41)</f>
        <v>4100</v>
      </c>
      <c r="E41" s="27" t="n">
        <f aca="false">IF(N(G40)&lt;=0.005,0,N(G40)*(1+N('Min gæld'!$D$5)/12))</f>
        <v>0</v>
      </c>
      <c r="F41" s="27" t="n">
        <f aca="false">IF(E41&lt;=0,0,MIN(E41,N('Min gæld'!$E$5)+D41))</f>
        <v>0</v>
      </c>
      <c r="G41" s="27" t="n">
        <f aca="false">IF(E41-F41&lt;0.005,0,E41-F41)</f>
        <v>0</v>
      </c>
      <c r="H41" s="27" t="n">
        <f aca="false">MAX(0,IF(N(G40)&lt;=0.005,D41,D41+N('Min gæld'!$E$5)-F41))</f>
        <v>4100</v>
      </c>
      <c r="I41" s="27" t="n">
        <f aca="false">IF(N(K40)&lt;=0.005,0,N(K40)*(1+N('Min gæld'!$D$6)/12))</f>
        <v>0</v>
      </c>
      <c r="J41" s="27" t="n">
        <f aca="false">IF(I41&lt;=0,0,MIN(I41,N('Min gæld'!$E$6)+H41))</f>
        <v>0</v>
      </c>
      <c r="K41" s="27" t="n">
        <f aca="false">IF(I41-J41&lt;0.005,0,I41-J41)</f>
        <v>0</v>
      </c>
      <c r="L41" s="27" t="n">
        <f aca="false">MAX(0,IF(N(K40)&lt;=0.005,H41,H41+N('Min gæld'!$E$6)-J41))</f>
        <v>4100</v>
      </c>
      <c r="M41" s="27" t="n">
        <f aca="false">IF(N(O40)&lt;=0.005,0,N(O40)*(1+N('Min gæld'!$D$7)/12))</f>
        <v>0</v>
      </c>
      <c r="N41" s="27" t="n">
        <f aca="false">IF(M41&lt;=0,0,MIN(M41,N('Min gæld'!$E$7)+L41))</f>
        <v>0</v>
      </c>
      <c r="O41" s="27" t="n">
        <f aca="false">IF(M41-N41&lt;0.005,0,M41-N41)</f>
        <v>0</v>
      </c>
      <c r="P41" s="27" t="n">
        <f aca="false">MAX(0,IF(N(O40)&lt;=0.005,L41,L41+N('Min gæld'!$E$7)-N41))</f>
        <v>4100</v>
      </c>
      <c r="Q41" s="27" t="n">
        <f aca="false">IF(N(S40)&lt;=0.005,0,N(S40)*(1+N('Min gæld'!$D$8)/12))</f>
        <v>39556.8514383461</v>
      </c>
      <c r="R41" s="27" t="n">
        <f aca="false">IF(Q41&lt;=0,0,MIN(Q41,N('Min gæld'!$E$8)+P41))</f>
        <v>4800</v>
      </c>
      <c r="S41" s="27" t="n">
        <f aca="false">IF(Q41-R41&lt;0.005,0,Q41-R41)</f>
        <v>34756.8514383461</v>
      </c>
      <c r="T41" s="27" t="n">
        <f aca="false">MAX(0,IF(N(S40)&lt;=0.005,P41,P41+N('Min gæld'!$E$8)-R41))</f>
        <v>0</v>
      </c>
      <c r="U41" s="27" t="n">
        <f aca="false">IF(N(W40)&lt;=0.005,0,N(W40)*(1+N('Min gæld'!$D$9)/12))</f>
        <v>0</v>
      </c>
      <c r="V41" s="27" t="n">
        <f aca="false">IF(U41&lt;=0,0,MIN(U41,N('Min gæld'!$E$9)+T41))</f>
        <v>0</v>
      </c>
      <c r="W41" s="27" t="n">
        <f aca="false">IF(U41-V41&lt;0.005,0,U41-V41)</f>
        <v>0</v>
      </c>
      <c r="X41" s="27" t="n">
        <f aca="false">MAX(0,IF(N(W40)&lt;=0.005,T41,T41+N('Min gæld'!$E$9)-V41))</f>
        <v>0</v>
      </c>
      <c r="Y41" s="27" t="n">
        <f aca="false">IF(N(AA40)&lt;=0.005,0,N(AA40)*(1+N('Min gæld'!$D$10)/12))</f>
        <v>0</v>
      </c>
      <c r="Z41" s="27" t="n">
        <f aca="false">IF(Y41&lt;=0,0,MIN(Y41,N('Min gæld'!$E$10)+X41))</f>
        <v>0</v>
      </c>
      <c r="AA41" s="27" t="n">
        <f aca="false">IF(Y41-Z41&lt;0.005,0,Y41-Z41)</f>
        <v>0</v>
      </c>
      <c r="AB41" s="27" t="n">
        <f aca="false">MAX(0,IF(N(AA40)&lt;=0.005,X41,X41+N('Min gæld'!$E$10)-Z41))</f>
        <v>0</v>
      </c>
      <c r="AC41" s="27" t="n">
        <f aca="false">IF(N(AE40)&lt;=0.005,0,N(AE40)*(1+N('Min gæld'!$D$11)/12))</f>
        <v>0</v>
      </c>
      <c r="AD41" s="27" t="n">
        <f aca="false">IF(AC41&lt;=0,0,MIN(AC41,N('Min gæld'!$E$11)+AB41))</f>
        <v>0</v>
      </c>
      <c r="AE41" s="27" t="n">
        <f aca="false">IF(AC41-AD41&lt;0.005,0,AC41-AD41)</f>
        <v>0</v>
      </c>
      <c r="AF41" s="27" t="n">
        <f aca="false">MAX(0,IF(N(AE40)&lt;=0.005,AB41,AB41+N('Min gæld'!$E$11)-AD41))</f>
        <v>0</v>
      </c>
      <c r="AG41" s="27" t="n">
        <f aca="false">IF(N(AI40)&lt;=0.005,0,N(AI40)*(1+N('Min gæld'!$D$12)/12))</f>
        <v>0</v>
      </c>
      <c r="AH41" s="27" t="n">
        <f aca="false">IF(AG41&lt;=0,0,MIN(AG41,N('Min gæld'!$E$12)+AF41))</f>
        <v>0</v>
      </c>
      <c r="AI41" s="27" t="n">
        <f aca="false">IF(AG41-AH41&lt;0.005,0,AG41-AH41)</f>
        <v>0</v>
      </c>
      <c r="AJ41" s="27" t="n">
        <f aca="false">G41+K41+O41+S41+W41+AA41+AE41+AI41</f>
        <v>34756.8514383461</v>
      </c>
      <c r="AK41" s="28" t="n">
        <f aca="false">IF(E41&gt;0,E41-N(G40),0)+IF(I41&gt;0,I41-N(K40),0)+IF(M41&gt;0,M41-N(O40),0)+IF(Q41&gt;0,Q41-N(S40),0)+IF(U41&gt;0,U41-N(W40),0)+IF(Y41&gt;0,Y41-N(AA40),0)+IF(AC41&gt;0,AC41-N(AE40),0)+IF(AG41&gt;0,AG41-N(AI40),0)</f>
        <v>131.418111090854</v>
      </c>
    </row>
    <row r="42" customFormat="false" ht="15" hidden="false" customHeight="false" outlineLevel="0" collapsed="false">
      <c r="A42" s="25" t="n">
        <v>37</v>
      </c>
      <c r="B42" s="26" t="n">
        <f aca="false">EDATE('Min gæld'!$C$16,36)</f>
        <v>47484</v>
      </c>
      <c r="C42" s="27" t="n">
        <f aca="false">N('Min gæld'!$C$15)+IF(N(G41)&lt;=0.005,N('Min gæld'!$E$5),0)+IF(N(K41)&lt;=0.005,N('Min gæld'!$E$6),0)+IF(N(O41)&lt;=0.005,N('Min gæld'!$E$7),0)+IF(N(S41)&lt;=0.005,N('Min gæld'!$E$8),0)+IF(N(W41)&lt;=0.005,N('Min gæld'!$E$9),0)+IF(N(AA41)&lt;=0.005,N('Min gæld'!$E$10),0)+IF(N(AE41)&lt;=0.005,N('Min gæld'!$E$11),0)+IF(N(AI41)&lt;=0.005,N('Min gæld'!$E$12),0)</f>
        <v>4100</v>
      </c>
      <c r="D42" s="27" t="n">
        <f aca="false">MAX(0,C42)</f>
        <v>4100</v>
      </c>
      <c r="E42" s="27" t="n">
        <f aca="false">IF(N(G41)&lt;=0.005,0,N(G41)*(1+N('Min gæld'!$D$5)/12))</f>
        <v>0</v>
      </c>
      <c r="F42" s="27" t="n">
        <f aca="false">IF(E42&lt;=0,0,MIN(E42,N('Min gæld'!$E$5)+D42))</f>
        <v>0</v>
      </c>
      <c r="G42" s="27" t="n">
        <f aca="false">IF(E42-F42&lt;0.005,0,E42-F42)</f>
        <v>0</v>
      </c>
      <c r="H42" s="27" t="n">
        <f aca="false">MAX(0,IF(N(G41)&lt;=0.005,D42,D42+N('Min gæld'!$E$5)-F42))</f>
        <v>4100</v>
      </c>
      <c r="I42" s="27" t="n">
        <f aca="false">IF(N(K41)&lt;=0.005,0,N(K41)*(1+N('Min gæld'!$D$6)/12))</f>
        <v>0</v>
      </c>
      <c r="J42" s="27" t="n">
        <f aca="false">IF(I42&lt;=0,0,MIN(I42,N('Min gæld'!$E$6)+H42))</f>
        <v>0</v>
      </c>
      <c r="K42" s="27" t="n">
        <f aca="false">IF(I42-J42&lt;0.005,0,I42-J42)</f>
        <v>0</v>
      </c>
      <c r="L42" s="27" t="n">
        <f aca="false">MAX(0,IF(N(K41)&lt;=0.005,H42,H42+N('Min gæld'!$E$6)-J42))</f>
        <v>4100</v>
      </c>
      <c r="M42" s="27" t="n">
        <f aca="false">IF(N(O41)&lt;=0.005,0,N(O41)*(1+N('Min gæld'!$D$7)/12))</f>
        <v>0</v>
      </c>
      <c r="N42" s="27" t="n">
        <f aca="false">IF(M42&lt;=0,0,MIN(M42,N('Min gæld'!$E$7)+L42))</f>
        <v>0</v>
      </c>
      <c r="O42" s="27" t="n">
        <f aca="false">IF(M42-N42&lt;0.005,0,M42-N42)</f>
        <v>0</v>
      </c>
      <c r="P42" s="27" t="n">
        <f aca="false">MAX(0,IF(N(O41)&lt;=0.005,L42,L42+N('Min gæld'!$E$7)-N42))</f>
        <v>4100</v>
      </c>
      <c r="Q42" s="27" t="n">
        <f aca="false">IF(N(S41)&lt;=0.005,0,N(S41)*(1+N('Min gæld'!$D$8)/12))</f>
        <v>34872.7076098072</v>
      </c>
      <c r="R42" s="27" t="n">
        <f aca="false">IF(Q42&lt;=0,0,MIN(Q42,N('Min gæld'!$E$8)+P42))</f>
        <v>4800</v>
      </c>
      <c r="S42" s="27" t="n">
        <f aca="false">IF(Q42-R42&lt;0.005,0,Q42-R42)</f>
        <v>30072.7076098072</v>
      </c>
      <c r="T42" s="27" t="n">
        <f aca="false">MAX(0,IF(N(S41)&lt;=0.005,P42,P42+N('Min gæld'!$E$8)-R42))</f>
        <v>0</v>
      </c>
      <c r="U42" s="27" t="n">
        <f aca="false">IF(N(W41)&lt;=0.005,0,N(W41)*(1+N('Min gæld'!$D$9)/12))</f>
        <v>0</v>
      </c>
      <c r="V42" s="27" t="n">
        <f aca="false">IF(U42&lt;=0,0,MIN(U42,N('Min gæld'!$E$9)+T42))</f>
        <v>0</v>
      </c>
      <c r="W42" s="27" t="n">
        <f aca="false">IF(U42-V42&lt;0.005,0,U42-V42)</f>
        <v>0</v>
      </c>
      <c r="X42" s="27" t="n">
        <f aca="false">MAX(0,IF(N(W41)&lt;=0.005,T42,T42+N('Min gæld'!$E$9)-V42))</f>
        <v>0</v>
      </c>
      <c r="Y42" s="27" t="n">
        <f aca="false">IF(N(AA41)&lt;=0.005,0,N(AA41)*(1+N('Min gæld'!$D$10)/12))</f>
        <v>0</v>
      </c>
      <c r="Z42" s="27" t="n">
        <f aca="false">IF(Y42&lt;=0,0,MIN(Y42,N('Min gæld'!$E$10)+X42))</f>
        <v>0</v>
      </c>
      <c r="AA42" s="27" t="n">
        <f aca="false">IF(Y42-Z42&lt;0.005,0,Y42-Z42)</f>
        <v>0</v>
      </c>
      <c r="AB42" s="27" t="n">
        <f aca="false">MAX(0,IF(N(AA41)&lt;=0.005,X42,X42+N('Min gæld'!$E$10)-Z42))</f>
        <v>0</v>
      </c>
      <c r="AC42" s="27" t="n">
        <f aca="false">IF(N(AE41)&lt;=0.005,0,N(AE41)*(1+N('Min gæld'!$D$11)/12))</f>
        <v>0</v>
      </c>
      <c r="AD42" s="27" t="n">
        <f aca="false">IF(AC42&lt;=0,0,MIN(AC42,N('Min gæld'!$E$11)+AB42))</f>
        <v>0</v>
      </c>
      <c r="AE42" s="27" t="n">
        <f aca="false">IF(AC42-AD42&lt;0.005,0,AC42-AD42)</f>
        <v>0</v>
      </c>
      <c r="AF42" s="27" t="n">
        <f aca="false">MAX(0,IF(N(AE41)&lt;=0.005,AB42,AB42+N('Min gæld'!$E$11)-AD42))</f>
        <v>0</v>
      </c>
      <c r="AG42" s="27" t="n">
        <f aca="false">IF(N(AI41)&lt;=0.005,0,N(AI41)*(1+N('Min gæld'!$D$12)/12))</f>
        <v>0</v>
      </c>
      <c r="AH42" s="27" t="n">
        <f aca="false">IF(AG42&lt;=0,0,MIN(AG42,N('Min gæld'!$E$12)+AF42))</f>
        <v>0</v>
      </c>
      <c r="AI42" s="27" t="n">
        <f aca="false">IF(AG42-AH42&lt;0.005,0,AG42-AH42)</f>
        <v>0</v>
      </c>
      <c r="AJ42" s="27" t="n">
        <f aca="false">G42+K42+O42+S42+W42+AA42+AE42+AI42</f>
        <v>30072.7076098072</v>
      </c>
      <c r="AK42" s="28" t="n">
        <f aca="false">IF(E42&gt;0,E42-N(G41),0)+IF(I42&gt;0,I42-N(K41),0)+IF(M42&gt;0,M42-N(O41),0)+IF(Q42&gt;0,Q42-N(S41),0)+IF(U42&gt;0,U42-N(W41),0)+IF(Y42&gt;0,Y42-N(AA41),0)+IF(AC42&gt;0,AC42-N(AE41),0)+IF(AG42&gt;0,AG42-N(AI41),0)</f>
        <v>115.856171461157</v>
      </c>
    </row>
    <row r="43" customFormat="false" ht="15" hidden="false" customHeight="false" outlineLevel="0" collapsed="false">
      <c r="A43" s="25" t="n">
        <v>38</v>
      </c>
      <c r="B43" s="26" t="n">
        <f aca="false">EDATE('Min gæld'!$C$16,37)</f>
        <v>47515</v>
      </c>
      <c r="C43" s="27" t="n">
        <f aca="false">N('Min gæld'!$C$15)+IF(N(G42)&lt;=0.005,N('Min gæld'!$E$5),0)+IF(N(K42)&lt;=0.005,N('Min gæld'!$E$6),0)+IF(N(O42)&lt;=0.005,N('Min gæld'!$E$7),0)+IF(N(S42)&lt;=0.005,N('Min gæld'!$E$8),0)+IF(N(W42)&lt;=0.005,N('Min gæld'!$E$9),0)+IF(N(AA42)&lt;=0.005,N('Min gæld'!$E$10),0)+IF(N(AE42)&lt;=0.005,N('Min gæld'!$E$11),0)+IF(N(AI42)&lt;=0.005,N('Min gæld'!$E$12),0)</f>
        <v>4100</v>
      </c>
      <c r="D43" s="27" t="n">
        <f aca="false">MAX(0,C43)</f>
        <v>4100</v>
      </c>
      <c r="E43" s="27" t="n">
        <f aca="false">IF(N(G42)&lt;=0.005,0,N(G42)*(1+N('Min gæld'!$D$5)/12))</f>
        <v>0</v>
      </c>
      <c r="F43" s="27" t="n">
        <f aca="false">IF(E43&lt;=0,0,MIN(E43,N('Min gæld'!$E$5)+D43))</f>
        <v>0</v>
      </c>
      <c r="G43" s="27" t="n">
        <f aca="false">IF(E43-F43&lt;0.005,0,E43-F43)</f>
        <v>0</v>
      </c>
      <c r="H43" s="27" t="n">
        <f aca="false">MAX(0,IF(N(G42)&lt;=0.005,D43,D43+N('Min gæld'!$E$5)-F43))</f>
        <v>4100</v>
      </c>
      <c r="I43" s="27" t="n">
        <f aca="false">IF(N(K42)&lt;=0.005,0,N(K42)*(1+N('Min gæld'!$D$6)/12))</f>
        <v>0</v>
      </c>
      <c r="J43" s="27" t="n">
        <f aca="false">IF(I43&lt;=0,0,MIN(I43,N('Min gæld'!$E$6)+H43))</f>
        <v>0</v>
      </c>
      <c r="K43" s="27" t="n">
        <f aca="false">IF(I43-J43&lt;0.005,0,I43-J43)</f>
        <v>0</v>
      </c>
      <c r="L43" s="27" t="n">
        <f aca="false">MAX(0,IF(N(K42)&lt;=0.005,H43,H43+N('Min gæld'!$E$6)-J43))</f>
        <v>4100</v>
      </c>
      <c r="M43" s="27" t="n">
        <f aca="false">IF(N(O42)&lt;=0.005,0,N(O42)*(1+N('Min gæld'!$D$7)/12))</f>
        <v>0</v>
      </c>
      <c r="N43" s="27" t="n">
        <f aca="false">IF(M43&lt;=0,0,MIN(M43,N('Min gæld'!$E$7)+L43))</f>
        <v>0</v>
      </c>
      <c r="O43" s="27" t="n">
        <f aca="false">IF(M43-N43&lt;0.005,0,M43-N43)</f>
        <v>0</v>
      </c>
      <c r="P43" s="27" t="n">
        <f aca="false">MAX(0,IF(N(O42)&lt;=0.005,L43,L43+N('Min gæld'!$E$7)-N43))</f>
        <v>4100</v>
      </c>
      <c r="Q43" s="27" t="n">
        <f aca="false">IF(N(S42)&lt;=0.005,0,N(S42)*(1+N('Min gæld'!$D$8)/12))</f>
        <v>30172.9499685066</v>
      </c>
      <c r="R43" s="27" t="n">
        <f aca="false">IF(Q43&lt;=0,0,MIN(Q43,N('Min gæld'!$E$8)+P43))</f>
        <v>4800</v>
      </c>
      <c r="S43" s="27" t="n">
        <f aca="false">IF(Q43-R43&lt;0.005,0,Q43-R43)</f>
        <v>25372.9499685066</v>
      </c>
      <c r="T43" s="27" t="n">
        <f aca="false">MAX(0,IF(N(S42)&lt;=0.005,P43,P43+N('Min gæld'!$E$8)-R43))</f>
        <v>0</v>
      </c>
      <c r="U43" s="27" t="n">
        <f aca="false">IF(N(W42)&lt;=0.005,0,N(W42)*(1+N('Min gæld'!$D$9)/12))</f>
        <v>0</v>
      </c>
      <c r="V43" s="27" t="n">
        <f aca="false">IF(U43&lt;=0,0,MIN(U43,N('Min gæld'!$E$9)+T43))</f>
        <v>0</v>
      </c>
      <c r="W43" s="27" t="n">
        <f aca="false">IF(U43-V43&lt;0.005,0,U43-V43)</f>
        <v>0</v>
      </c>
      <c r="X43" s="27" t="n">
        <f aca="false">MAX(0,IF(N(W42)&lt;=0.005,T43,T43+N('Min gæld'!$E$9)-V43))</f>
        <v>0</v>
      </c>
      <c r="Y43" s="27" t="n">
        <f aca="false">IF(N(AA42)&lt;=0.005,0,N(AA42)*(1+N('Min gæld'!$D$10)/12))</f>
        <v>0</v>
      </c>
      <c r="Z43" s="27" t="n">
        <f aca="false">IF(Y43&lt;=0,0,MIN(Y43,N('Min gæld'!$E$10)+X43))</f>
        <v>0</v>
      </c>
      <c r="AA43" s="27" t="n">
        <f aca="false">IF(Y43-Z43&lt;0.005,0,Y43-Z43)</f>
        <v>0</v>
      </c>
      <c r="AB43" s="27" t="n">
        <f aca="false">MAX(0,IF(N(AA42)&lt;=0.005,X43,X43+N('Min gæld'!$E$10)-Z43))</f>
        <v>0</v>
      </c>
      <c r="AC43" s="27" t="n">
        <f aca="false">IF(N(AE42)&lt;=0.005,0,N(AE42)*(1+N('Min gæld'!$D$11)/12))</f>
        <v>0</v>
      </c>
      <c r="AD43" s="27" t="n">
        <f aca="false">IF(AC43&lt;=0,0,MIN(AC43,N('Min gæld'!$E$11)+AB43))</f>
        <v>0</v>
      </c>
      <c r="AE43" s="27" t="n">
        <f aca="false">IF(AC43-AD43&lt;0.005,0,AC43-AD43)</f>
        <v>0</v>
      </c>
      <c r="AF43" s="27" t="n">
        <f aca="false">MAX(0,IF(N(AE42)&lt;=0.005,AB43,AB43+N('Min gæld'!$E$11)-AD43))</f>
        <v>0</v>
      </c>
      <c r="AG43" s="27" t="n">
        <f aca="false">IF(N(AI42)&lt;=0.005,0,N(AI42)*(1+N('Min gæld'!$D$12)/12))</f>
        <v>0</v>
      </c>
      <c r="AH43" s="27" t="n">
        <f aca="false">IF(AG43&lt;=0,0,MIN(AG43,N('Min gæld'!$E$12)+AF43))</f>
        <v>0</v>
      </c>
      <c r="AI43" s="27" t="n">
        <f aca="false">IF(AG43-AH43&lt;0.005,0,AG43-AH43)</f>
        <v>0</v>
      </c>
      <c r="AJ43" s="27" t="n">
        <f aca="false">G43+K43+O43+S43+W43+AA43+AE43+AI43</f>
        <v>25372.9499685066</v>
      </c>
      <c r="AK43" s="28" t="n">
        <f aca="false">IF(E43&gt;0,E43-N(G42),0)+IF(I43&gt;0,I43-N(K42),0)+IF(M43&gt;0,M43-N(O42),0)+IF(Q43&gt;0,Q43-N(S42),0)+IF(U43&gt;0,U43-N(W42),0)+IF(Y43&gt;0,Y43-N(AA42),0)+IF(AC43&gt;0,AC43-N(AE42),0)+IF(AG43&gt;0,AG43-N(AI42),0)</f>
        <v>100.242358699361</v>
      </c>
    </row>
    <row r="44" customFormat="false" ht="15" hidden="false" customHeight="false" outlineLevel="0" collapsed="false">
      <c r="A44" s="25" t="n">
        <v>39</v>
      </c>
      <c r="B44" s="26" t="n">
        <f aca="false">EDATE('Min gæld'!$C$16,38)</f>
        <v>47543</v>
      </c>
      <c r="C44" s="27" t="n">
        <f aca="false">N('Min gæld'!$C$15)+IF(N(G43)&lt;=0.005,N('Min gæld'!$E$5),0)+IF(N(K43)&lt;=0.005,N('Min gæld'!$E$6),0)+IF(N(O43)&lt;=0.005,N('Min gæld'!$E$7),0)+IF(N(S43)&lt;=0.005,N('Min gæld'!$E$8),0)+IF(N(W43)&lt;=0.005,N('Min gæld'!$E$9),0)+IF(N(AA43)&lt;=0.005,N('Min gæld'!$E$10),0)+IF(N(AE43)&lt;=0.005,N('Min gæld'!$E$11),0)+IF(N(AI43)&lt;=0.005,N('Min gæld'!$E$12),0)</f>
        <v>4100</v>
      </c>
      <c r="D44" s="27" t="n">
        <f aca="false">MAX(0,C44)</f>
        <v>4100</v>
      </c>
      <c r="E44" s="27" t="n">
        <f aca="false">IF(N(G43)&lt;=0.005,0,N(G43)*(1+N('Min gæld'!$D$5)/12))</f>
        <v>0</v>
      </c>
      <c r="F44" s="27" t="n">
        <f aca="false">IF(E44&lt;=0,0,MIN(E44,N('Min gæld'!$E$5)+D44))</f>
        <v>0</v>
      </c>
      <c r="G44" s="27" t="n">
        <f aca="false">IF(E44-F44&lt;0.005,0,E44-F44)</f>
        <v>0</v>
      </c>
      <c r="H44" s="27" t="n">
        <f aca="false">MAX(0,IF(N(G43)&lt;=0.005,D44,D44+N('Min gæld'!$E$5)-F44))</f>
        <v>4100</v>
      </c>
      <c r="I44" s="27" t="n">
        <f aca="false">IF(N(K43)&lt;=0.005,0,N(K43)*(1+N('Min gæld'!$D$6)/12))</f>
        <v>0</v>
      </c>
      <c r="J44" s="27" t="n">
        <f aca="false">IF(I44&lt;=0,0,MIN(I44,N('Min gæld'!$E$6)+H44))</f>
        <v>0</v>
      </c>
      <c r="K44" s="27" t="n">
        <f aca="false">IF(I44-J44&lt;0.005,0,I44-J44)</f>
        <v>0</v>
      </c>
      <c r="L44" s="27" t="n">
        <f aca="false">MAX(0,IF(N(K43)&lt;=0.005,H44,H44+N('Min gæld'!$E$6)-J44))</f>
        <v>4100</v>
      </c>
      <c r="M44" s="27" t="n">
        <f aca="false">IF(N(O43)&lt;=0.005,0,N(O43)*(1+N('Min gæld'!$D$7)/12))</f>
        <v>0</v>
      </c>
      <c r="N44" s="27" t="n">
        <f aca="false">IF(M44&lt;=0,0,MIN(M44,N('Min gæld'!$E$7)+L44))</f>
        <v>0</v>
      </c>
      <c r="O44" s="27" t="n">
        <f aca="false">IF(M44-N44&lt;0.005,0,M44-N44)</f>
        <v>0</v>
      </c>
      <c r="P44" s="27" t="n">
        <f aca="false">MAX(0,IF(N(O43)&lt;=0.005,L44,L44+N('Min gæld'!$E$7)-N44))</f>
        <v>4100</v>
      </c>
      <c r="Q44" s="27" t="n">
        <f aca="false">IF(N(S43)&lt;=0.005,0,N(S43)*(1+N('Min gæld'!$D$8)/12))</f>
        <v>25457.5264684016</v>
      </c>
      <c r="R44" s="27" t="n">
        <f aca="false">IF(Q44&lt;=0,0,MIN(Q44,N('Min gæld'!$E$8)+P44))</f>
        <v>4800</v>
      </c>
      <c r="S44" s="27" t="n">
        <f aca="false">IF(Q44-R44&lt;0.005,0,Q44-R44)</f>
        <v>20657.5264684016</v>
      </c>
      <c r="T44" s="27" t="n">
        <f aca="false">MAX(0,IF(N(S43)&lt;=0.005,P44,P44+N('Min gæld'!$E$8)-R44))</f>
        <v>0</v>
      </c>
      <c r="U44" s="27" t="n">
        <f aca="false">IF(N(W43)&lt;=0.005,0,N(W43)*(1+N('Min gæld'!$D$9)/12))</f>
        <v>0</v>
      </c>
      <c r="V44" s="27" t="n">
        <f aca="false">IF(U44&lt;=0,0,MIN(U44,N('Min gæld'!$E$9)+T44))</f>
        <v>0</v>
      </c>
      <c r="W44" s="27" t="n">
        <f aca="false">IF(U44-V44&lt;0.005,0,U44-V44)</f>
        <v>0</v>
      </c>
      <c r="X44" s="27" t="n">
        <f aca="false">MAX(0,IF(N(W43)&lt;=0.005,T44,T44+N('Min gæld'!$E$9)-V44))</f>
        <v>0</v>
      </c>
      <c r="Y44" s="27" t="n">
        <f aca="false">IF(N(AA43)&lt;=0.005,0,N(AA43)*(1+N('Min gæld'!$D$10)/12))</f>
        <v>0</v>
      </c>
      <c r="Z44" s="27" t="n">
        <f aca="false">IF(Y44&lt;=0,0,MIN(Y44,N('Min gæld'!$E$10)+X44))</f>
        <v>0</v>
      </c>
      <c r="AA44" s="27" t="n">
        <f aca="false">IF(Y44-Z44&lt;0.005,0,Y44-Z44)</f>
        <v>0</v>
      </c>
      <c r="AB44" s="27" t="n">
        <f aca="false">MAX(0,IF(N(AA43)&lt;=0.005,X44,X44+N('Min gæld'!$E$10)-Z44))</f>
        <v>0</v>
      </c>
      <c r="AC44" s="27" t="n">
        <f aca="false">IF(N(AE43)&lt;=0.005,0,N(AE43)*(1+N('Min gæld'!$D$11)/12))</f>
        <v>0</v>
      </c>
      <c r="AD44" s="27" t="n">
        <f aca="false">IF(AC44&lt;=0,0,MIN(AC44,N('Min gæld'!$E$11)+AB44))</f>
        <v>0</v>
      </c>
      <c r="AE44" s="27" t="n">
        <f aca="false">IF(AC44-AD44&lt;0.005,0,AC44-AD44)</f>
        <v>0</v>
      </c>
      <c r="AF44" s="27" t="n">
        <f aca="false">MAX(0,IF(N(AE43)&lt;=0.005,AB44,AB44+N('Min gæld'!$E$11)-AD44))</f>
        <v>0</v>
      </c>
      <c r="AG44" s="27" t="n">
        <f aca="false">IF(N(AI43)&lt;=0.005,0,N(AI43)*(1+N('Min gæld'!$D$12)/12))</f>
        <v>0</v>
      </c>
      <c r="AH44" s="27" t="n">
        <f aca="false">IF(AG44&lt;=0,0,MIN(AG44,N('Min gæld'!$E$12)+AF44))</f>
        <v>0</v>
      </c>
      <c r="AI44" s="27" t="n">
        <f aca="false">IF(AG44-AH44&lt;0.005,0,AG44-AH44)</f>
        <v>0</v>
      </c>
      <c r="AJ44" s="27" t="n">
        <f aca="false">G44+K44+O44+S44+W44+AA44+AE44+AI44</f>
        <v>20657.5264684016</v>
      </c>
      <c r="AK44" s="28" t="n">
        <f aca="false">IF(E44&gt;0,E44-N(G43),0)+IF(I44&gt;0,I44-N(K43),0)+IF(M44&gt;0,M44-N(O43),0)+IF(Q44&gt;0,Q44-N(S43),0)+IF(U44&gt;0,U44-N(W43),0)+IF(Y44&gt;0,Y44-N(AA43),0)+IF(AC44&gt;0,AC44-N(AE43),0)+IF(AG44&gt;0,AG44-N(AI43),0)</f>
        <v>84.5764998950253</v>
      </c>
    </row>
    <row r="45" customFormat="false" ht="15" hidden="false" customHeight="false" outlineLevel="0" collapsed="false">
      <c r="A45" s="25" t="n">
        <v>40</v>
      </c>
      <c r="B45" s="26" t="n">
        <f aca="false">EDATE('Min gæld'!$C$16,39)</f>
        <v>47574</v>
      </c>
      <c r="C45" s="27" t="n">
        <f aca="false">N('Min gæld'!$C$15)+IF(N(G44)&lt;=0.005,N('Min gæld'!$E$5),0)+IF(N(K44)&lt;=0.005,N('Min gæld'!$E$6),0)+IF(N(O44)&lt;=0.005,N('Min gæld'!$E$7),0)+IF(N(S44)&lt;=0.005,N('Min gæld'!$E$8),0)+IF(N(W44)&lt;=0.005,N('Min gæld'!$E$9),0)+IF(N(AA44)&lt;=0.005,N('Min gæld'!$E$10),0)+IF(N(AE44)&lt;=0.005,N('Min gæld'!$E$11),0)+IF(N(AI44)&lt;=0.005,N('Min gæld'!$E$12),0)</f>
        <v>4100</v>
      </c>
      <c r="D45" s="27" t="n">
        <f aca="false">MAX(0,C45)</f>
        <v>4100</v>
      </c>
      <c r="E45" s="27" t="n">
        <f aca="false">IF(N(G44)&lt;=0.005,0,N(G44)*(1+N('Min gæld'!$D$5)/12))</f>
        <v>0</v>
      </c>
      <c r="F45" s="27" t="n">
        <f aca="false">IF(E45&lt;=0,0,MIN(E45,N('Min gæld'!$E$5)+D45))</f>
        <v>0</v>
      </c>
      <c r="G45" s="27" t="n">
        <f aca="false">IF(E45-F45&lt;0.005,0,E45-F45)</f>
        <v>0</v>
      </c>
      <c r="H45" s="27" t="n">
        <f aca="false">MAX(0,IF(N(G44)&lt;=0.005,D45,D45+N('Min gæld'!$E$5)-F45))</f>
        <v>4100</v>
      </c>
      <c r="I45" s="27" t="n">
        <f aca="false">IF(N(K44)&lt;=0.005,0,N(K44)*(1+N('Min gæld'!$D$6)/12))</f>
        <v>0</v>
      </c>
      <c r="J45" s="27" t="n">
        <f aca="false">IF(I45&lt;=0,0,MIN(I45,N('Min gæld'!$E$6)+H45))</f>
        <v>0</v>
      </c>
      <c r="K45" s="27" t="n">
        <f aca="false">IF(I45-J45&lt;0.005,0,I45-J45)</f>
        <v>0</v>
      </c>
      <c r="L45" s="27" t="n">
        <f aca="false">MAX(0,IF(N(K44)&lt;=0.005,H45,H45+N('Min gæld'!$E$6)-J45))</f>
        <v>4100</v>
      </c>
      <c r="M45" s="27" t="n">
        <f aca="false">IF(N(O44)&lt;=0.005,0,N(O44)*(1+N('Min gæld'!$D$7)/12))</f>
        <v>0</v>
      </c>
      <c r="N45" s="27" t="n">
        <f aca="false">IF(M45&lt;=0,0,MIN(M45,N('Min gæld'!$E$7)+L45))</f>
        <v>0</v>
      </c>
      <c r="O45" s="27" t="n">
        <f aca="false">IF(M45-N45&lt;0.005,0,M45-N45)</f>
        <v>0</v>
      </c>
      <c r="P45" s="27" t="n">
        <f aca="false">MAX(0,IF(N(O44)&lt;=0.005,L45,L45+N('Min gæld'!$E$7)-N45))</f>
        <v>4100</v>
      </c>
      <c r="Q45" s="27" t="n">
        <f aca="false">IF(N(S44)&lt;=0.005,0,N(S44)*(1+N('Min gæld'!$D$8)/12))</f>
        <v>20726.3848899629</v>
      </c>
      <c r="R45" s="27" t="n">
        <f aca="false">IF(Q45&lt;=0,0,MIN(Q45,N('Min gæld'!$E$8)+P45))</f>
        <v>4800</v>
      </c>
      <c r="S45" s="27" t="n">
        <f aca="false">IF(Q45-R45&lt;0.005,0,Q45-R45)</f>
        <v>15926.3848899629</v>
      </c>
      <c r="T45" s="27" t="n">
        <f aca="false">MAX(0,IF(N(S44)&lt;=0.005,P45,P45+N('Min gæld'!$E$8)-R45))</f>
        <v>0</v>
      </c>
      <c r="U45" s="27" t="n">
        <f aca="false">IF(N(W44)&lt;=0.005,0,N(W44)*(1+N('Min gæld'!$D$9)/12))</f>
        <v>0</v>
      </c>
      <c r="V45" s="27" t="n">
        <f aca="false">IF(U45&lt;=0,0,MIN(U45,N('Min gæld'!$E$9)+T45))</f>
        <v>0</v>
      </c>
      <c r="W45" s="27" t="n">
        <f aca="false">IF(U45-V45&lt;0.005,0,U45-V45)</f>
        <v>0</v>
      </c>
      <c r="X45" s="27" t="n">
        <f aca="false">MAX(0,IF(N(W44)&lt;=0.005,T45,T45+N('Min gæld'!$E$9)-V45))</f>
        <v>0</v>
      </c>
      <c r="Y45" s="27" t="n">
        <f aca="false">IF(N(AA44)&lt;=0.005,0,N(AA44)*(1+N('Min gæld'!$D$10)/12))</f>
        <v>0</v>
      </c>
      <c r="Z45" s="27" t="n">
        <f aca="false">IF(Y45&lt;=0,0,MIN(Y45,N('Min gæld'!$E$10)+X45))</f>
        <v>0</v>
      </c>
      <c r="AA45" s="27" t="n">
        <f aca="false">IF(Y45-Z45&lt;0.005,0,Y45-Z45)</f>
        <v>0</v>
      </c>
      <c r="AB45" s="27" t="n">
        <f aca="false">MAX(0,IF(N(AA44)&lt;=0.005,X45,X45+N('Min gæld'!$E$10)-Z45))</f>
        <v>0</v>
      </c>
      <c r="AC45" s="27" t="n">
        <f aca="false">IF(N(AE44)&lt;=0.005,0,N(AE44)*(1+N('Min gæld'!$D$11)/12))</f>
        <v>0</v>
      </c>
      <c r="AD45" s="27" t="n">
        <f aca="false">IF(AC45&lt;=0,0,MIN(AC45,N('Min gæld'!$E$11)+AB45))</f>
        <v>0</v>
      </c>
      <c r="AE45" s="27" t="n">
        <f aca="false">IF(AC45-AD45&lt;0.005,0,AC45-AD45)</f>
        <v>0</v>
      </c>
      <c r="AF45" s="27" t="n">
        <f aca="false">MAX(0,IF(N(AE44)&lt;=0.005,AB45,AB45+N('Min gæld'!$E$11)-AD45))</f>
        <v>0</v>
      </c>
      <c r="AG45" s="27" t="n">
        <f aca="false">IF(N(AI44)&lt;=0.005,0,N(AI44)*(1+N('Min gæld'!$D$12)/12))</f>
        <v>0</v>
      </c>
      <c r="AH45" s="27" t="n">
        <f aca="false">IF(AG45&lt;=0,0,MIN(AG45,N('Min gæld'!$E$12)+AF45))</f>
        <v>0</v>
      </c>
      <c r="AI45" s="27" t="n">
        <f aca="false">IF(AG45-AH45&lt;0.005,0,AG45-AH45)</f>
        <v>0</v>
      </c>
      <c r="AJ45" s="27" t="n">
        <f aca="false">G45+K45+O45+S45+W45+AA45+AE45+AI45</f>
        <v>15926.3848899629</v>
      </c>
      <c r="AK45" s="28" t="n">
        <f aca="false">IF(E45&gt;0,E45-N(G44),0)+IF(I45&gt;0,I45-N(K44),0)+IF(M45&gt;0,M45-N(O44),0)+IF(Q45&gt;0,Q45-N(S44),0)+IF(U45&gt;0,U45-N(W44),0)+IF(Y45&gt;0,Y45-N(AA44),0)+IF(AC45&gt;0,AC45-N(AE44),0)+IF(AG45&gt;0,AG45-N(AI44),0)</f>
        <v>68.858421561341</v>
      </c>
    </row>
    <row r="46" customFormat="false" ht="15" hidden="false" customHeight="false" outlineLevel="0" collapsed="false">
      <c r="A46" s="25" t="n">
        <v>41</v>
      </c>
      <c r="B46" s="26" t="n">
        <f aca="false">EDATE('Min gæld'!$C$16,40)</f>
        <v>47604</v>
      </c>
      <c r="C46" s="27" t="n">
        <f aca="false">N('Min gæld'!$C$15)+IF(N(G45)&lt;=0.005,N('Min gæld'!$E$5),0)+IF(N(K45)&lt;=0.005,N('Min gæld'!$E$6),0)+IF(N(O45)&lt;=0.005,N('Min gæld'!$E$7),0)+IF(N(S45)&lt;=0.005,N('Min gæld'!$E$8),0)+IF(N(W45)&lt;=0.005,N('Min gæld'!$E$9),0)+IF(N(AA45)&lt;=0.005,N('Min gæld'!$E$10),0)+IF(N(AE45)&lt;=0.005,N('Min gæld'!$E$11),0)+IF(N(AI45)&lt;=0.005,N('Min gæld'!$E$12),0)</f>
        <v>4100</v>
      </c>
      <c r="D46" s="27" t="n">
        <f aca="false">MAX(0,C46)</f>
        <v>4100</v>
      </c>
      <c r="E46" s="27" t="n">
        <f aca="false">IF(N(G45)&lt;=0.005,0,N(G45)*(1+N('Min gæld'!$D$5)/12))</f>
        <v>0</v>
      </c>
      <c r="F46" s="27" t="n">
        <f aca="false">IF(E46&lt;=0,0,MIN(E46,N('Min gæld'!$E$5)+D46))</f>
        <v>0</v>
      </c>
      <c r="G46" s="27" t="n">
        <f aca="false">IF(E46-F46&lt;0.005,0,E46-F46)</f>
        <v>0</v>
      </c>
      <c r="H46" s="27" t="n">
        <f aca="false">MAX(0,IF(N(G45)&lt;=0.005,D46,D46+N('Min gæld'!$E$5)-F46))</f>
        <v>4100</v>
      </c>
      <c r="I46" s="27" t="n">
        <f aca="false">IF(N(K45)&lt;=0.005,0,N(K45)*(1+N('Min gæld'!$D$6)/12))</f>
        <v>0</v>
      </c>
      <c r="J46" s="27" t="n">
        <f aca="false">IF(I46&lt;=0,0,MIN(I46,N('Min gæld'!$E$6)+H46))</f>
        <v>0</v>
      </c>
      <c r="K46" s="27" t="n">
        <f aca="false">IF(I46-J46&lt;0.005,0,I46-J46)</f>
        <v>0</v>
      </c>
      <c r="L46" s="27" t="n">
        <f aca="false">MAX(0,IF(N(K45)&lt;=0.005,H46,H46+N('Min gæld'!$E$6)-J46))</f>
        <v>4100</v>
      </c>
      <c r="M46" s="27" t="n">
        <f aca="false">IF(N(O45)&lt;=0.005,0,N(O45)*(1+N('Min gæld'!$D$7)/12))</f>
        <v>0</v>
      </c>
      <c r="N46" s="27" t="n">
        <f aca="false">IF(M46&lt;=0,0,MIN(M46,N('Min gæld'!$E$7)+L46))</f>
        <v>0</v>
      </c>
      <c r="O46" s="27" t="n">
        <f aca="false">IF(M46-N46&lt;0.005,0,M46-N46)</f>
        <v>0</v>
      </c>
      <c r="P46" s="27" t="n">
        <f aca="false">MAX(0,IF(N(O45)&lt;=0.005,L46,L46+N('Min gæld'!$E$7)-N46))</f>
        <v>4100</v>
      </c>
      <c r="Q46" s="27" t="n">
        <f aca="false">IF(N(S45)&lt;=0.005,0,N(S45)*(1+N('Min gæld'!$D$8)/12))</f>
        <v>15979.4728395961</v>
      </c>
      <c r="R46" s="27" t="n">
        <f aca="false">IF(Q46&lt;=0,0,MIN(Q46,N('Min gæld'!$E$8)+P46))</f>
        <v>4800</v>
      </c>
      <c r="S46" s="27" t="n">
        <f aca="false">IF(Q46-R46&lt;0.005,0,Q46-R46)</f>
        <v>11179.4728395961</v>
      </c>
      <c r="T46" s="27" t="n">
        <f aca="false">MAX(0,IF(N(S45)&lt;=0.005,P46,P46+N('Min gæld'!$E$8)-R46))</f>
        <v>0</v>
      </c>
      <c r="U46" s="27" t="n">
        <f aca="false">IF(N(W45)&lt;=0.005,0,N(W45)*(1+N('Min gæld'!$D$9)/12))</f>
        <v>0</v>
      </c>
      <c r="V46" s="27" t="n">
        <f aca="false">IF(U46&lt;=0,0,MIN(U46,N('Min gæld'!$E$9)+T46))</f>
        <v>0</v>
      </c>
      <c r="W46" s="27" t="n">
        <f aca="false">IF(U46-V46&lt;0.005,0,U46-V46)</f>
        <v>0</v>
      </c>
      <c r="X46" s="27" t="n">
        <f aca="false">MAX(0,IF(N(W45)&lt;=0.005,T46,T46+N('Min gæld'!$E$9)-V46))</f>
        <v>0</v>
      </c>
      <c r="Y46" s="27" t="n">
        <f aca="false">IF(N(AA45)&lt;=0.005,0,N(AA45)*(1+N('Min gæld'!$D$10)/12))</f>
        <v>0</v>
      </c>
      <c r="Z46" s="27" t="n">
        <f aca="false">IF(Y46&lt;=0,0,MIN(Y46,N('Min gæld'!$E$10)+X46))</f>
        <v>0</v>
      </c>
      <c r="AA46" s="27" t="n">
        <f aca="false">IF(Y46-Z46&lt;0.005,0,Y46-Z46)</f>
        <v>0</v>
      </c>
      <c r="AB46" s="27" t="n">
        <f aca="false">MAX(0,IF(N(AA45)&lt;=0.005,X46,X46+N('Min gæld'!$E$10)-Z46))</f>
        <v>0</v>
      </c>
      <c r="AC46" s="27" t="n">
        <f aca="false">IF(N(AE45)&lt;=0.005,0,N(AE45)*(1+N('Min gæld'!$D$11)/12))</f>
        <v>0</v>
      </c>
      <c r="AD46" s="27" t="n">
        <f aca="false">IF(AC46&lt;=0,0,MIN(AC46,N('Min gæld'!$E$11)+AB46))</f>
        <v>0</v>
      </c>
      <c r="AE46" s="27" t="n">
        <f aca="false">IF(AC46-AD46&lt;0.005,0,AC46-AD46)</f>
        <v>0</v>
      </c>
      <c r="AF46" s="27" t="n">
        <f aca="false">MAX(0,IF(N(AE45)&lt;=0.005,AB46,AB46+N('Min gæld'!$E$11)-AD46))</f>
        <v>0</v>
      </c>
      <c r="AG46" s="27" t="n">
        <f aca="false">IF(N(AI45)&lt;=0.005,0,N(AI45)*(1+N('Min gæld'!$D$12)/12))</f>
        <v>0</v>
      </c>
      <c r="AH46" s="27" t="n">
        <f aca="false">IF(AG46&lt;=0,0,MIN(AG46,N('Min gæld'!$E$12)+AF46))</f>
        <v>0</v>
      </c>
      <c r="AI46" s="27" t="n">
        <f aca="false">IF(AG46-AH46&lt;0.005,0,AG46-AH46)</f>
        <v>0</v>
      </c>
      <c r="AJ46" s="27" t="n">
        <f aca="false">G46+K46+O46+S46+W46+AA46+AE46+AI46</f>
        <v>11179.4728395961</v>
      </c>
      <c r="AK46" s="28" t="n">
        <f aca="false">IF(E46&gt;0,E46-N(G45),0)+IF(I46&gt;0,I46-N(K45),0)+IF(M46&gt;0,M46-N(O45),0)+IF(Q46&gt;0,Q46-N(S45),0)+IF(U46&gt;0,U46-N(W45),0)+IF(Y46&gt;0,Y46-N(AA45),0)+IF(AC46&gt;0,AC46-N(AE45),0)+IF(AG46&gt;0,AG46-N(AI45),0)</f>
        <v>53.0879496332109</v>
      </c>
    </row>
    <row r="47" customFormat="false" ht="15" hidden="false" customHeight="false" outlineLevel="0" collapsed="false">
      <c r="A47" s="25" t="n">
        <v>42</v>
      </c>
      <c r="B47" s="26" t="n">
        <f aca="false">EDATE('Min gæld'!$C$16,41)</f>
        <v>47635</v>
      </c>
      <c r="C47" s="27" t="n">
        <f aca="false">N('Min gæld'!$C$15)+IF(N(G46)&lt;=0.005,N('Min gæld'!$E$5),0)+IF(N(K46)&lt;=0.005,N('Min gæld'!$E$6),0)+IF(N(O46)&lt;=0.005,N('Min gæld'!$E$7),0)+IF(N(S46)&lt;=0.005,N('Min gæld'!$E$8),0)+IF(N(W46)&lt;=0.005,N('Min gæld'!$E$9),0)+IF(N(AA46)&lt;=0.005,N('Min gæld'!$E$10),0)+IF(N(AE46)&lt;=0.005,N('Min gæld'!$E$11),0)+IF(N(AI46)&lt;=0.005,N('Min gæld'!$E$12),0)</f>
        <v>4100</v>
      </c>
      <c r="D47" s="27" t="n">
        <f aca="false">MAX(0,C47)</f>
        <v>4100</v>
      </c>
      <c r="E47" s="27" t="n">
        <f aca="false">IF(N(G46)&lt;=0.005,0,N(G46)*(1+N('Min gæld'!$D$5)/12))</f>
        <v>0</v>
      </c>
      <c r="F47" s="27" t="n">
        <f aca="false">IF(E47&lt;=0,0,MIN(E47,N('Min gæld'!$E$5)+D47))</f>
        <v>0</v>
      </c>
      <c r="G47" s="27" t="n">
        <f aca="false">IF(E47-F47&lt;0.005,0,E47-F47)</f>
        <v>0</v>
      </c>
      <c r="H47" s="27" t="n">
        <f aca="false">MAX(0,IF(N(G46)&lt;=0.005,D47,D47+N('Min gæld'!$E$5)-F47))</f>
        <v>4100</v>
      </c>
      <c r="I47" s="27" t="n">
        <f aca="false">IF(N(K46)&lt;=0.005,0,N(K46)*(1+N('Min gæld'!$D$6)/12))</f>
        <v>0</v>
      </c>
      <c r="J47" s="27" t="n">
        <f aca="false">IF(I47&lt;=0,0,MIN(I47,N('Min gæld'!$E$6)+H47))</f>
        <v>0</v>
      </c>
      <c r="K47" s="27" t="n">
        <f aca="false">IF(I47-J47&lt;0.005,0,I47-J47)</f>
        <v>0</v>
      </c>
      <c r="L47" s="27" t="n">
        <f aca="false">MAX(0,IF(N(K46)&lt;=0.005,H47,H47+N('Min gæld'!$E$6)-J47))</f>
        <v>4100</v>
      </c>
      <c r="M47" s="27" t="n">
        <f aca="false">IF(N(O46)&lt;=0.005,0,N(O46)*(1+N('Min gæld'!$D$7)/12))</f>
        <v>0</v>
      </c>
      <c r="N47" s="27" t="n">
        <f aca="false">IF(M47&lt;=0,0,MIN(M47,N('Min gæld'!$E$7)+L47))</f>
        <v>0</v>
      </c>
      <c r="O47" s="27" t="n">
        <f aca="false">IF(M47-N47&lt;0.005,0,M47-N47)</f>
        <v>0</v>
      </c>
      <c r="P47" s="27" t="n">
        <f aca="false">MAX(0,IF(N(O46)&lt;=0.005,L47,L47+N('Min gæld'!$E$7)-N47))</f>
        <v>4100</v>
      </c>
      <c r="Q47" s="27" t="n">
        <f aca="false">IF(N(S46)&lt;=0.005,0,N(S46)*(1+N('Min gæld'!$D$8)/12))</f>
        <v>11216.7377490615</v>
      </c>
      <c r="R47" s="27" t="n">
        <f aca="false">IF(Q47&lt;=0,0,MIN(Q47,N('Min gæld'!$E$8)+P47))</f>
        <v>4800</v>
      </c>
      <c r="S47" s="27" t="n">
        <f aca="false">IF(Q47-R47&lt;0.005,0,Q47-R47)</f>
        <v>6416.73774906147</v>
      </c>
      <c r="T47" s="27" t="n">
        <f aca="false">MAX(0,IF(N(S46)&lt;=0.005,P47,P47+N('Min gæld'!$E$8)-R47))</f>
        <v>0</v>
      </c>
      <c r="U47" s="27" t="n">
        <f aca="false">IF(N(W46)&lt;=0.005,0,N(W46)*(1+N('Min gæld'!$D$9)/12))</f>
        <v>0</v>
      </c>
      <c r="V47" s="27" t="n">
        <f aca="false">IF(U47&lt;=0,0,MIN(U47,N('Min gæld'!$E$9)+T47))</f>
        <v>0</v>
      </c>
      <c r="W47" s="27" t="n">
        <f aca="false">IF(U47-V47&lt;0.005,0,U47-V47)</f>
        <v>0</v>
      </c>
      <c r="X47" s="27" t="n">
        <f aca="false">MAX(0,IF(N(W46)&lt;=0.005,T47,T47+N('Min gæld'!$E$9)-V47))</f>
        <v>0</v>
      </c>
      <c r="Y47" s="27" t="n">
        <f aca="false">IF(N(AA46)&lt;=0.005,0,N(AA46)*(1+N('Min gæld'!$D$10)/12))</f>
        <v>0</v>
      </c>
      <c r="Z47" s="27" t="n">
        <f aca="false">IF(Y47&lt;=0,0,MIN(Y47,N('Min gæld'!$E$10)+X47))</f>
        <v>0</v>
      </c>
      <c r="AA47" s="27" t="n">
        <f aca="false">IF(Y47-Z47&lt;0.005,0,Y47-Z47)</f>
        <v>0</v>
      </c>
      <c r="AB47" s="27" t="n">
        <f aca="false">MAX(0,IF(N(AA46)&lt;=0.005,X47,X47+N('Min gæld'!$E$10)-Z47))</f>
        <v>0</v>
      </c>
      <c r="AC47" s="27" t="n">
        <f aca="false">IF(N(AE46)&lt;=0.005,0,N(AE46)*(1+N('Min gæld'!$D$11)/12))</f>
        <v>0</v>
      </c>
      <c r="AD47" s="27" t="n">
        <f aca="false">IF(AC47&lt;=0,0,MIN(AC47,N('Min gæld'!$E$11)+AB47))</f>
        <v>0</v>
      </c>
      <c r="AE47" s="27" t="n">
        <f aca="false">IF(AC47-AD47&lt;0.005,0,AC47-AD47)</f>
        <v>0</v>
      </c>
      <c r="AF47" s="27" t="n">
        <f aca="false">MAX(0,IF(N(AE46)&lt;=0.005,AB47,AB47+N('Min gæld'!$E$11)-AD47))</f>
        <v>0</v>
      </c>
      <c r="AG47" s="27" t="n">
        <f aca="false">IF(N(AI46)&lt;=0.005,0,N(AI46)*(1+N('Min gæld'!$D$12)/12))</f>
        <v>0</v>
      </c>
      <c r="AH47" s="27" t="n">
        <f aca="false">IF(AG47&lt;=0,0,MIN(AG47,N('Min gæld'!$E$12)+AF47))</f>
        <v>0</v>
      </c>
      <c r="AI47" s="27" t="n">
        <f aca="false">IF(AG47-AH47&lt;0.005,0,AG47-AH47)</f>
        <v>0</v>
      </c>
      <c r="AJ47" s="27" t="n">
        <f aca="false">G47+K47+O47+S47+W47+AA47+AE47+AI47</f>
        <v>6416.73774906147</v>
      </c>
      <c r="AK47" s="28" t="n">
        <f aca="false">IF(E47&gt;0,E47-N(G46),0)+IF(I47&gt;0,I47-N(K46),0)+IF(M47&gt;0,M47-N(O46),0)+IF(Q47&gt;0,Q47-N(S46),0)+IF(U47&gt;0,U47-N(W46),0)+IF(Y47&gt;0,Y47-N(AA46),0)+IF(AC47&gt;0,AC47-N(AE46),0)+IF(AG47&gt;0,AG47-N(AI46),0)</f>
        <v>37.2649094653207</v>
      </c>
    </row>
    <row r="48" customFormat="false" ht="15" hidden="false" customHeight="false" outlineLevel="0" collapsed="false">
      <c r="A48" s="25" t="n">
        <v>43</v>
      </c>
      <c r="B48" s="26" t="n">
        <f aca="false">EDATE('Min gæld'!$C$16,42)</f>
        <v>47665</v>
      </c>
      <c r="C48" s="27" t="n">
        <f aca="false">N('Min gæld'!$C$15)+IF(N(G47)&lt;=0.005,N('Min gæld'!$E$5),0)+IF(N(K47)&lt;=0.005,N('Min gæld'!$E$6),0)+IF(N(O47)&lt;=0.005,N('Min gæld'!$E$7),0)+IF(N(S47)&lt;=0.005,N('Min gæld'!$E$8),0)+IF(N(W47)&lt;=0.005,N('Min gæld'!$E$9),0)+IF(N(AA47)&lt;=0.005,N('Min gæld'!$E$10),0)+IF(N(AE47)&lt;=0.005,N('Min gæld'!$E$11),0)+IF(N(AI47)&lt;=0.005,N('Min gæld'!$E$12),0)</f>
        <v>4100</v>
      </c>
      <c r="D48" s="27" t="n">
        <f aca="false">MAX(0,C48)</f>
        <v>4100</v>
      </c>
      <c r="E48" s="27" t="n">
        <f aca="false">IF(N(G47)&lt;=0.005,0,N(G47)*(1+N('Min gæld'!$D$5)/12))</f>
        <v>0</v>
      </c>
      <c r="F48" s="27" t="n">
        <f aca="false">IF(E48&lt;=0,0,MIN(E48,N('Min gæld'!$E$5)+D48))</f>
        <v>0</v>
      </c>
      <c r="G48" s="27" t="n">
        <f aca="false">IF(E48-F48&lt;0.005,0,E48-F48)</f>
        <v>0</v>
      </c>
      <c r="H48" s="27" t="n">
        <f aca="false">MAX(0,IF(N(G47)&lt;=0.005,D48,D48+N('Min gæld'!$E$5)-F48))</f>
        <v>4100</v>
      </c>
      <c r="I48" s="27" t="n">
        <f aca="false">IF(N(K47)&lt;=0.005,0,N(K47)*(1+N('Min gæld'!$D$6)/12))</f>
        <v>0</v>
      </c>
      <c r="J48" s="27" t="n">
        <f aca="false">IF(I48&lt;=0,0,MIN(I48,N('Min gæld'!$E$6)+H48))</f>
        <v>0</v>
      </c>
      <c r="K48" s="27" t="n">
        <f aca="false">IF(I48-J48&lt;0.005,0,I48-J48)</f>
        <v>0</v>
      </c>
      <c r="L48" s="27" t="n">
        <f aca="false">MAX(0,IF(N(K47)&lt;=0.005,H48,H48+N('Min gæld'!$E$6)-J48))</f>
        <v>4100</v>
      </c>
      <c r="M48" s="27" t="n">
        <f aca="false">IF(N(O47)&lt;=0.005,0,N(O47)*(1+N('Min gæld'!$D$7)/12))</f>
        <v>0</v>
      </c>
      <c r="N48" s="27" t="n">
        <f aca="false">IF(M48&lt;=0,0,MIN(M48,N('Min gæld'!$E$7)+L48))</f>
        <v>0</v>
      </c>
      <c r="O48" s="27" t="n">
        <f aca="false">IF(M48-N48&lt;0.005,0,M48-N48)</f>
        <v>0</v>
      </c>
      <c r="P48" s="27" t="n">
        <f aca="false">MAX(0,IF(N(O47)&lt;=0.005,L48,L48+N('Min gæld'!$E$7)-N48))</f>
        <v>4100</v>
      </c>
      <c r="Q48" s="27" t="n">
        <f aca="false">IF(N(S47)&lt;=0.005,0,N(S47)*(1+N('Min gæld'!$D$8)/12))</f>
        <v>6438.12687489167</v>
      </c>
      <c r="R48" s="27" t="n">
        <f aca="false">IF(Q48&lt;=0,0,MIN(Q48,N('Min gæld'!$E$8)+P48))</f>
        <v>4800</v>
      </c>
      <c r="S48" s="27" t="n">
        <f aca="false">IF(Q48-R48&lt;0.005,0,Q48-R48)</f>
        <v>1638.12687489167</v>
      </c>
      <c r="T48" s="27" t="n">
        <f aca="false">MAX(0,IF(N(S47)&lt;=0.005,P48,P48+N('Min gæld'!$E$8)-R48))</f>
        <v>0</v>
      </c>
      <c r="U48" s="27" t="n">
        <f aca="false">IF(N(W47)&lt;=0.005,0,N(W47)*(1+N('Min gæld'!$D$9)/12))</f>
        <v>0</v>
      </c>
      <c r="V48" s="27" t="n">
        <f aca="false">IF(U48&lt;=0,0,MIN(U48,N('Min gæld'!$E$9)+T48))</f>
        <v>0</v>
      </c>
      <c r="W48" s="27" t="n">
        <f aca="false">IF(U48-V48&lt;0.005,0,U48-V48)</f>
        <v>0</v>
      </c>
      <c r="X48" s="27" t="n">
        <f aca="false">MAX(0,IF(N(W47)&lt;=0.005,T48,T48+N('Min gæld'!$E$9)-V48))</f>
        <v>0</v>
      </c>
      <c r="Y48" s="27" t="n">
        <f aca="false">IF(N(AA47)&lt;=0.005,0,N(AA47)*(1+N('Min gæld'!$D$10)/12))</f>
        <v>0</v>
      </c>
      <c r="Z48" s="27" t="n">
        <f aca="false">IF(Y48&lt;=0,0,MIN(Y48,N('Min gæld'!$E$10)+X48))</f>
        <v>0</v>
      </c>
      <c r="AA48" s="27" t="n">
        <f aca="false">IF(Y48-Z48&lt;0.005,0,Y48-Z48)</f>
        <v>0</v>
      </c>
      <c r="AB48" s="27" t="n">
        <f aca="false">MAX(0,IF(N(AA47)&lt;=0.005,X48,X48+N('Min gæld'!$E$10)-Z48))</f>
        <v>0</v>
      </c>
      <c r="AC48" s="27" t="n">
        <f aca="false">IF(N(AE47)&lt;=0.005,0,N(AE47)*(1+N('Min gæld'!$D$11)/12))</f>
        <v>0</v>
      </c>
      <c r="AD48" s="27" t="n">
        <f aca="false">IF(AC48&lt;=0,0,MIN(AC48,N('Min gæld'!$E$11)+AB48))</f>
        <v>0</v>
      </c>
      <c r="AE48" s="27" t="n">
        <f aca="false">IF(AC48-AD48&lt;0.005,0,AC48-AD48)</f>
        <v>0</v>
      </c>
      <c r="AF48" s="27" t="n">
        <f aca="false">MAX(0,IF(N(AE47)&lt;=0.005,AB48,AB48+N('Min gæld'!$E$11)-AD48))</f>
        <v>0</v>
      </c>
      <c r="AG48" s="27" t="n">
        <f aca="false">IF(N(AI47)&lt;=0.005,0,N(AI47)*(1+N('Min gæld'!$D$12)/12))</f>
        <v>0</v>
      </c>
      <c r="AH48" s="27" t="n">
        <f aca="false">IF(AG48&lt;=0,0,MIN(AG48,N('Min gæld'!$E$12)+AF48))</f>
        <v>0</v>
      </c>
      <c r="AI48" s="27" t="n">
        <f aca="false">IF(AG48-AH48&lt;0.005,0,AG48-AH48)</f>
        <v>0</v>
      </c>
      <c r="AJ48" s="27" t="n">
        <f aca="false">G48+K48+O48+S48+W48+AA48+AE48+AI48</f>
        <v>1638.12687489167</v>
      </c>
      <c r="AK48" s="28" t="n">
        <f aca="false">IF(E48&gt;0,E48-N(G47),0)+IF(I48&gt;0,I48-N(K47),0)+IF(M48&gt;0,M48-N(O47),0)+IF(Q48&gt;0,Q48-N(S47),0)+IF(U48&gt;0,U48-N(W47),0)+IF(Y48&gt;0,Y48-N(AA47),0)+IF(AC48&gt;0,AC48-N(AE47),0)+IF(AG48&gt;0,AG48-N(AI47),0)</f>
        <v>21.3891258302056</v>
      </c>
    </row>
    <row r="49" customFormat="false" ht="15" hidden="false" customHeight="false" outlineLevel="0" collapsed="false">
      <c r="A49" s="25" t="n">
        <v>44</v>
      </c>
      <c r="B49" s="26" t="n">
        <f aca="false">EDATE('Min gæld'!$C$16,43)</f>
        <v>47696</v>
      </c>
      <c r="C49" s="27" t="n">
        <f aca="false">N('Min gæld'!$C$15)+IF(N(G48)&lt;=0.005,N('Min gæld'!$E$5),0)+IF(N(K48)&lt;=0.005,N('Min gæld'!$E$6),0)+IF(N(O48)&lt;=0.005,N('Min gæld'!$E$7),0)+IF(N(S48)&lt;=0.005,N('Min gæld'!$E$8),0)+IF(N(W48)&lt;=0.005,N('Min gæld'!$E$9),0)+IF(N(AA48)&lt;=0.005,N('Min gæld'!$E$10),0)+IF(N(AE48)&lt;=0.005,N('Min gæld'!$E$11),0)+IF(N(AI48)&lt;=0.005,N('Min gæld'!$E$12),0)</f>
        <v>4100</v>
      </c>
      <c r="D49" s="27" t="n">
        <f aca="false">MAX(0,C49)</f>
        <v>4100</v>
      </c>
      <c r="E49" s="27" t="n">
        <f aca="false">IF(N(G48)&lt;=0.005,0,N(G48)*(1+N('Min gæld'!$D$5)/12))</f>
        <v>0</v>
      </c>
      <c r="F49" s="27" t="n">
        <f aca="false">IF(E49&lt;=0,0,MIN(E49,N('Min gæld'!$E$5)+D49))</f>
        <v>0</v>
      </c>
      <c r="G49" s="27" t="n">
        <f aca="false">IF(E49-F49&lt;0.005,0,E49-F49)</f>
        <v>0</v>
      </c>
      <c r="H49" s="27" t="n">
        <f aca="false">MAX(0,IF(N(G48)&lt;=0.005,D49,D49+N('Min gæld'!$E$5)-F49))</f>
        <v>4100</v>
      </c>
      <c r="I49" s="27" t="n">
        <f aca="false">IF(N(K48)&lt;=0.005,0,N(K48)*(1+N('Min gæld'!$D$6)/12))</f>
        <v>0</v>
      </c>
      <c r="J49" s="27" t="n">
        <f aca="false">IF(I49&lt;=0,0,MIN(I49,N('Min gæld'!$E$6)+H49))</f>
        <v>0</v>
      </c>
      <c r="K49" s="27" t="n">
        <f aca="false">IF(I49-J49&lt;0.005,0,I49-J49)</f>
        <v>0</v>
      </c>
      <c r="L49" s="27" t="n">
        <f aca="false">MAX(0,IF(N(K48)&lt;=0.005,H49,H49+N('Min gæld'!$E$6)-J49))</f>
        <v>4100</v>
      </c>
      <c r="M49" s="27" t="n">
        <f aca="false">IF(N(O48)&lt;=0.005,0,N(O48)*(1+N('Min gæld'!$D$7)/12))</f>
        <v>0</v>
      </c>
      <c r="N49" s="27" t="n">
        <f aca="false">IF(M49&lt;=0,0,MIN(M49,N('Min gæld'!$E$7)+L49))</f>
        <v>0</v>
      </c>
      <c r="O49" s="27" t="n">
        <f aca="false">IF(M49-N49&lt;0.005,0,M49-N49)</f>
        <v>0</v>
      </c>
      <c r="P49" s="27" t="n">
        <f aca="false">MAX(0,IF(N(O48)&lt;=0.005,L49,L49+N('Min gæld'!$E$7)-N49))</f>
        <v>4100</v>
      </c>
      <c r="Q49" s="27" t="n">
        <f aca="false">IF(N(S48)&lt;=0.005,0,N(S48)*(1+N('Min gæld'!$D$8)/12))</f>
        <v>1643.58729780798</v>
      </c>
      <c r="R49" s="27" t="n">
        <f aca="false">IF(Q49&lt;=0,0,MIN(Q49,N('Min gæld'!$E$8)+P49))</f>
        <v>1643.58729780798</v>
      </c>
      <c r="S49" s="27" t="n">
        <f aca="false">IF(Q49-R49&lt;0.005,0,Q49-R49)</f>
        <v>0</v>
      </c>
      <c r="T49" s="27" t="n">
        <f aca="false">MAX(0,IF(N(S48)&lt;=0.005,P49,P49+N('Min gæld'!$E$8)-R49))</f>
        <v>3156.41270219202</v>
      </c>
      <c r="U49" s="27" t="n">
        <f aca="false">IF(N(W48)&lt;=0.005,0,N(W48)*(1+N('Min gæld'!$D$9)/12))</f>
        <v>0</v>
      </c>
      <c r="V49" s="27" t="n">
        <f aca="false">IF(U49&lt;=0,0,MIN(U49,N('Min gæld'!$E$9)+T49))</f>
        <v>0</v>
      </c>
      <c r="W49" s="27" t="n">
        <f aca="false">IF(U49-V49&lt;0.005,0,U49-V49)</f>
        <v>0</v>
      </c>
      <c r="X49" s="27" t="n">
        <f aca="false">MAX(0,IF(N(W48)&lt;=0.005,T49,T49+N('Min gæld'!$E$9)-V49))</f>
        <v>3156.41270219202</v>
      </c>
      <c r="Y49" s="27" t="n">
        <f aca="false">IF(N(AA48)&lt;=0.005,0,N(AA48)*(1+N('Min gæld'!$D$10)/12))</f>
        <v>0</v>
      </c>
      <c r="Z49" s="27" t="n">
        <f aca="false">IF(Y49&lt;=0,0,MIN(Y49,N('Min gæld'!$E$10)+X49))</f>
        <v>0</v>
      </c>
      <c r="AA49" s="27" t="n">
        <f aca="false">IF(Y49-Z49&lt;0.005,0,Y49-Z49)</f>
        <v>0</v>
      </c>
      <c r="AB49" s="27" t="n">
        <f aca="false">MAX(0,IF(N(AA48)&lt;=0.005,X49,X49+N('Min gæld'!$E$10)-Z49))</f>
        <v>3156.41270219202</v>
      </c>
      <c r="AC49" s="27" t="n">
        <f aca="false">IF(N(AE48)&lt;=0.005,0,N(AE48)*(1+N('Min gæld'!$D$11)/12))</f>
        <v>0</v>
      </c>
      <c r="AD49" s="27" t="n">
        <f aca="false">IF(AC49&lt;=0,0,MIN(AC49,N('Min gæld'!$E$11)+AB49))</f>
        <v>0</v>
      </c>
      <c r="AE49" s="27" t="n">
        <f aca="false">IF(AC49-AD49&lt;0.005,0,AC49-AD49)</f>
        <v>0</v>
      </c>
      <c r="AF49" s="27" t="n">
        <f aca="false">MAX(0,IF(N(AE48)&lt;=0.005,AB49,AB49+N('Min gæld'!$E$11)-AD49))</f>
        <v>3156.41270219202</v>
      </c>
      <c r="AG49" s="27" t="n">
        <f aca="false">IF(N(AI48)&lt;=0.005,0,N(AI48)*(1+N('Min gæld'!$D$12)/12))</f>
        <v>0</v>
      </c>
      <c r="AH49" s="27" t="n">
        <f aca="false">IF(AG49&lt;=0,0,MIN(AG49,N('Min gæld'!$E$12)+AF49))</f>
        <v>0</v>
      </c>
      <c r="AI49" s="27" t="n">
        <f aca="false">IF(AG49-AH49&lt;0.005,0,AG49-AH49)</f>
        <v>0</v>
      </c>
      <c r="AJ49" s="27" t="n">
        <f aca="false">G49+K49+O49+S49+W49+AA49+AE49+AI49</f>
        <v>0</v>
      </c>
      <c r="AK49" s="28" t="n">
        <f aca="false">IF(E49&gt;0,E49-N(G48),0)+IF(I49&gt;0,I49-N(K48),0)+IF(M49&gt;0,M49-N(O48),0)+IF(Q49&gt;0,Q49-N(S48),0)+IF(U49&gt;0,U49-N(W48),0)+IF(Y49&gt;0,Y49-N(AA48),0)+IF(AC49&gt;0,AC49-N(AE48),0)+IF(AG49&gt;0,AG49-N(AI48),0)</f>
        <v>5.46042291630579</v>
      </c>
    </row>
    <row r="50" customFormat="false" ht="15" hidden="false" customHeight="false" outlineLevel="0" collapsed="false">
      <c r="A50" s="25" t="n">
        <v>45</v>
      </c>
      <c r="B50" s="26" t="n">
        <f aca="false">EDATE('Min gæld'!$C$16,44)</f>
        <v>47727</v>
      </c>
      <c r="C50" s="27" t="n">
        <f aca="false">N('Min gæld'!$C$15)+IF(N(G49)&lt;=0.005,N('Min gæld'!$E$5),0)+IF(N(K49)&lt;=0.005,N('Min gæld'!$E$6),0)+IF(N(O49)&lt;=0.005,N('Min gæld'!$E$7),0)+IF(N(S49)&lt;=0.005,N('Min gæld'!$E$8),0)+IF(N(W49)&lt;=0.005,N('Min gæld'!$E$9),0)+IF(N(AA49)&lt;=0.005,N('Min gæld'!$E$10),0)+IF(N(AE49)&lt;=0.005,N('Min gæld'!$E$11),0)+IF(N(AI49)&lt;=0.005,N('Min gæld'!$E$12),0)</f>
        <v>4800</v>
      </c>
      <c r="D50" s="27" t="n">
        <f aca="false">MAX(0,C50)</f>
        <v>4800</v>
      </c>
      <c r="E50" s="27" t="n">
        <f aca="false">IF(N(G49)&lt;=0.005,0,N(G49)*(1+N('Min gæld'!$D$5)/12))</f>
        <v>0</v>
      </c>
      <c r="F50" s="27" t="n">
        <f aca="false">IF(E50&lt;=0,0,MIN(E50,N('Min gæld'!$E$5)+D50))</f>
        <v>0</v>
      </c>
      <c r="G50" s="27" t="n">
        <f aca="false">IF(E50-F50&lt;0.005,0,E50-F50)</f>
        <v>0</v>
      </c>
      <c r="H50" s="27" t="n">
        <f aca="false">MAX(0,IF(N(G49)&lt;=0.005,D50,D50+N('Min gæld'!$E$5)-F50))</f>
        <v>4800</v>
      </c>
      <c r="I50" s="27" t="n">
        <f aca="false">IF(N(K49)&lt;=0.005,0,N(K49)*(1+N('Min gæld'!$D$6)/12))</f>
        <v>0</v>
      </c>
      <c r="J50" s="27" t="n">
        <f aca="false">IF(I50&lt;=0,0,MIN(I50,N('Min gæld'!$E$6)+H50))</f>
        <v>0</v>
      </c>
      <c r="K50" s="27" t="n">
        <f aca="false">IF(I50-J50&lt;0.005,0,I50-J50)</f>
        <v>0</v>
      </c>
      <c r="L50" s="27" t="n">
        <f aca="false">MAX(0,IF(N(K49)&lt;=0.005,H50,H50+N('Min gæld'!$E$6)-J50))</f>
        <v>4800</v>
      </c>
      <c r="M50" s="27" t="n">
        <f aca="false">IF(N(O49)&lt;=0.005,0,N(O49)*(1+N('Min gæld'!$D$7)/12))</f>
        <v>0</v>
      </c>
      <c r="N50" s="27" t="n">
        <f aca="false">IF(M50&lt;=0,0,MIN(M50,N('Min gæld'!$E$7)+L50))</f>
        <v>0</v>
      </c>
      <c r="O50" s="27" t="n">
        <f aca="false">IF(M50-N50&lt;0.005,0,M50-N50)</f>
        <v>0</v>
      </c>
      <c r="P50" s="27" t="n">
        <f aca="false">MAX(0,IF(N(O49)&lt;=0.005,L50,L50+N('Min gæld'!$E$7)-N50))</f>
        <v>4800</v>
      </c>
      <c r="Q50" s="27" t="n">
        <f aca="false">IF(N(S49)&lt;=0.005,0,N(S49)*(1+N('Min gæld'!$D$8)/12))</f>
        <v>0</v>
      </c>
      <c r="R50" s="27" t="n">
        <f aca="false">IF(Q50&lt;=0,0,MIN(Q50,N('Min gæld'!$E$8)+P50))</f>
        <v>0</v>
      </c>
      <c r="S50" s="27" t="n">
        <f aca="false">IF(Q50-R50&lt;0.005,0,Q50-R50)</f>
        <v>0</v>
      </c>
      <c r="T50" s="27" t="n">
        <f aca="false">MAX(0,IF(N(S49)&lt;=0.005,P50,P50+N('Min gæld'!$E$8)-R50))</f>
        <v>4800</v>
      </c>
      <c r="U50" s="27" t="n">
        <f aca="false">IF(N(W49)&lt;=0.005,0,N(W49)*(1+N('Min gæld'!$D$9)/12))</f>
        <v>0</v>
      </c>
      <c r="V50" s="27" t="n">
        <f aca="false">IF(U50&lt;=0,0,MIN(U50,N('Min gæld'!$E$9)+T50))</f>
        <v>0</v>
      </c>
      <c r="W50" s="27" t="n">
        <f aca="false">IF(U50-V50&lt;0.005,0,U50-V50)</f>
        <v>0</v>
      </c>
      <c r="X50" s="27" t="n">
        <f aca="false">MAX(0,IF(N(W49)&lt;=0.005,T50,T50+N('Min gæld'!$E$9)-V50))</f>
        <v>4800</v>
      </c>
      <c r="Y50" s="27" t="n">
        <f aca="false">IF(N(AA49)&lt;=0.005,0,N(AA49)*(1+N('Min gæld'!$D$10)/12))</f>
        <v>0</v>
      </c>
      <c r="Z50" s="27" t="n">
        <f aca="false">IF(Y50&lt;=0,0,MIN(Y50,N('Min gæld'!$E$10)+X50))</f>
        <v>0</v>
      </c>
      <c r="AA50" s="27" t="n">
        <f aca="false">IF(Y50-Z50&lt;0.005,0,Y50-Z50)</f>
        <v>0</v>
      </c>
      <c r="AB50" s="27" t="n">
        <f aca="false">MAX(0,IF(N(AA49)&lt;=0.005,X50,X50+N('Min gæld'!$E$10)-Z50))</f>
        <v>4800</v>
      </c>
      <c r="AC50" s="27" t="n">
        <f aca="false">IF(N(AE49)&lt;=0.005,0,N(AE49)*(1+N('Min gæld'!$D$11)/12))</f>
        <v>0</v>
      </c>
      <c r="AD50" s="27" t="n">
        <f aca="false">IF(AC50&lt;=0,0,MIN(AC50,N('Min gæld'!$E$11)+AB50))</f>
        <v>0</v>
      </c>
      <c r="AE50" s="27" t="n">
        <f aca="false">IF(AC50-AD50&lt;0.005,0,AC50-AD50)</f>
        <v>0</v>
      </c>
      <c r="AF50" s="27" t="n">
        <f aca="false">MAX(0,IF(N(AE49)&lt;=0.005,AB50,AB50+N('Min gæld'!$E$11)-AD50))</f>
        <v>4800</v>
      </c>
      <c r="AG50" s="27" t="n">
        <f aca="false">IF(N(AI49)&lt;=0.005,0,N(AI49)*(1+N('Min gæld'!$D$12)/12))</f>
        <v>0</v>
      </c>
      <c r="AH50" s="27" t="n">
        <f aca="false">IF(AG50&lt;=0,0,MIN(AG50,N('Min gæld'!$E$12)+AF50))</f>
        <v>0</v>
      </c>
      <c r="AI50" s="27" t="n">
        <f aca="false">IF(AG50-AH50&lt;0.005,0,AG50-AH50)</f>
        <v>0</v>
      </c>
      <c r="AJ50" s="27" t="n">
        <f aca="false">G50+K50+O50+S50+W50+AA50+AE50+AI50</f>
        <v>0</v>
      </c>
      <c r="AK50" s="28" t="n">
        <f aca="false">IF(E50&gt;0,E50-N(G49),0)+IF(I50&gt;0,I50-N(K49),0)+IF(M50&gt;0,M50-N(O49),0)+IF(Q50&gt;0,Q50-N(S49),0)+IF(U50&gt;0,U50-N(W49),0)+IF(Y50&gt;0,Y50-N(AA49),0)+IF(AC50&gt;0,AC50-N(AE49),0)+IF(AG50&gt;0,AG50-N(AI49),0)</f>
        <v>0</v>
      </c>
    </row>
    <row r="51" customFormat="false" ht="15" hidden="false" customHeight="false" outlineLevel="0" collapsed="false">
      <c r="A51" s="25" t="n">
        <v>46</v>
      </c>
      <c r="B51" s="26" t="n">
        <f aca="false">EDATE('Min gæld'!$C$16,45)</f>
        <v>47757</v>
      </c>
      <c r="C51" s="27" t="n">
        <f aca="false">N('Min gæld'!$C$15)+IF(N(G50)&lt;=0.005,N('Min gæld'!$E$5),0)+IF(N(K50)&lt;=0.005,N('Min gæld'!$E$6),0)+IF(N(O50)&lt;=0.005,N('Min gæld'!$E$7),0)+IF(N(S50)&lt;=0.005,N('Min gæld'!$E$8),0)+IF(N(W50)&lt;=0.005,N('Min gæld'!$E$9),0)+IF(N(AA50)&lt;=0.005,N('Min gæld'!$E$10),0)+IF(N(AE50)&lt;=0.005,N('Min gæld'!$E$11),0)+IF(N(AI50)&lt;=0.005,N('Min gæld'!$E$12),0)</f>
        <v>4800</v>
      </c>
      <c r="D51" s="27" t="n">
        <f aca="false">MAX(0,C51)</f>
        <v>4800</v>
      </c>
      <c r="E51" s="27" t="n">
        <f aca="false">IF(N(G50)&lt;=0.005,0,N(G50)*(1+N('Min gæld'!$D$5)/12))</f>
        <v>0</v>
      </c>
      <c r="F51" s="27" t="n">
        <f aca="false">IF(E51&lt;=0,0,MIN(E51,N('Min gæld'!$E$5)+D51))</f>
        <v>0</v>
      </c>
      <c r="G51" s="27" t="n">
        <f aca="false">IF(E51-F51&lt;0.005,0,E51-F51)</f>
        <v>0</v>
      </c>
      <c r="H51" s="27" t="n">
        <f aca="false">MAX(0,IF(N(G50)&lt;=0.005,D51,D51+N('Min gæld'!$E$5)-F51))</f>
        <v>4800</v>
      </c>
      <c r="I51" s="27" t="n">
        <f aca="false">IF(N(K50)&lt;=0.005,0,N(K50)*(1+N('Min gæld'!$D$6)/12))</f>
        <v>0</v>
      </c>
      <c r="J51" s="27" t="n">
        <f aca="false">IF(I51&lt;=0,0,MIN(I51,N('Min gæld'!$E$6)+H51))</f>
        <v>0</v>
      </c>
      <c r="K51" s="27" t="n">
        <f aca="false">IF(I51-J51&lt;0.005,0,I51-J51)</f>
        <v>0</v>
      </c>
      <c r="L51" s="27" t="n">
        <f aca="false">MAX(0,IF(N(K50)&lt;=0.005,H51,H51+N('Min gæld'!$E$6)-J51))</f>
        <v>4800</v>
      </c>
      <c r="M51" s="27" t="n">
        <f aca="false">IF(N(O50)&lt;=0.005,0,N(O50)*(1+N('Min gæld'!$D$7)/12))</f>
        <v>0</v>
      </c>
      <c r="N51" s="27" t="n">
        <f aca="false">IF(M51&lt;=0,0,MIN(M51,N('Min gæld'!$E$7)+L51))</f>
        <v>0</v>
      </c>
      <c r="O51" s="27" t="n">
        <f aca="false">IF(M51-N51&lt;0.005,0,M51-N51)</f>
        <v>0</v>
      </c>
      <c r="P51" s="27" t="n">
        <f aca="false">MAX(0,IF(N(O50)&lt;=0.005,L51,L51+N('Min gæld'!$E$7)-N51))</f>
        <v>4800</v>
      </c>
      <c r="Q51" s="27" t="n">
        <f aca="false">IF(N(S50)&lt;=0.005,0,N(S50)*(1+N('Min gæld'!$D$8)/12))</f>
        <v>0</v>
      </c>
      <c r="R51" s="27" t="n">
        <f aca="false">IF(Q51&lt;=0,0,MIN(Q51,N('Min gæld'!$E$8)+P51))</f>
        <v>0</v>
      </c>
      <c r="S51" s="27" t="n">
        <f aca="false">IF(Q51-R51&lt;0.005,0,Q51-R51)</f>
        <v>0</v>
      </c>
      <c r="T51" s="27" t="n">
        <f aca="false">MAX(0,IF(N(S50)&lt;=0.005,P51,P51+N('Min gæld'!$E$8)-R51))</f>
        <v>4800</v>
      </c>
      <c r="U51" s="27" t="n">
        <f aca="false">IF(N(W50)&lt;=0.005,0,N(W50)*(1+N('Min gæld'!$D$9)/12))</f>
        <v>0</v>
      </c>
      <c r="V51" s="27" t="n">
        <f aca="false">IF(U51&lt;=0,0,MIN(U51,N('Min gæld'!$E$9)+T51))</f>
        <v>0</v>
      </c>
      <c r="W51" s="27" t="n">
        <f aca="false">IF(U51-V51&lt;0.005,0,U51-V51)</f>
        <v>0</v>
      </c>
      <c r="X51" s="27" t="n">
        <f aca="false">MAX(0,IF(N(W50)&lt;=0.005,T51,T51+N('Min gæld'!$E$9)-V51))</f>
        <v>4800</v>
      </c>
      <c r="Y51" s="27" t="n">
        <f aca="false">IF(N(AA50)&lt;=0.005,0,N(AA50)*(1+N('Min gæld'!$D$10)/12))</f>
        <v>0</v>
      </c>
      <c r="Z51" s="27" t="n">
        <f aca="false">IF(Y51&lt;=0,0,MIN(Y51,N('Min gæld'!$E$10)+X51))</f>
        <v>0</v>
      </c>
      <c r="AA51" s="27" t="n">
        <f aca="false">IF(Y51-Z51&lt;0.005,0,Y51-Z51)</f>
        <v>0</v>
      </c>
      <c r="AB51" s="27" t="n">
        <f aca="false">MAX(0,IF(N(AA50)&lt;=0.005,X51,X51+N('Min gæld'!$E$10)-Z51))</f>
        <v>4800</v>
      </c>
      <c r="AC51" s="27" t="n">
        <f aca="false">IF(N(AE50)&lt;=0.005,0,N(AE50)*(1+N('Min gæld'!$D$11)/12))</f>
        <v>0</v>
      </c>
      <c r="AD51" s="27" t="n">
        <f aca="false">IF(AC51&lt;=0,0,MIN(AC51,N('Min gæld'!$E$11)+AB51))</f>
        <v>0</v>
      </c>
      <c r="AE51" s="27" t="n">
        <f aca="false">IF(AC51-AD51&lt;0.005,0,AC51-AD51)</f>
        <v>0</v>
      </c>
      <c r="AF51" s="27" t="n">
        <f aca="false">MAX(0,IF(N(AE50)&lt;=0.005,AB51,AB51+N('Min gæld'!$E$11)-AD51))</f>
        <v>4800</v>
      </c>
      <c r="AG51" s="27" t="n">
        <f aca="false">IF(N(AI50)&lt;=0.005,0,N(AI50)*(1+N('Min gæld'!$D$12)/12))</f>
        <v>0</v>
      </c>
      <c r="AH51" s="27" t="n">
        <f aca="false">IF(AG51&lt;=0,0,MIN(AG51,N('Min gæld'!$E$12)+AF51))</f>
        <v>0</v>
      </c>
      <c r="AI51" s="27" t="n">
        <f aca="false">IF(AG51-AH51&lt;0.005,0,AG51-AH51)</f>
        <v>0</v>
      </c>
      <c r="AJ51" s="27" t="n">
        <f aca="false">G51+K51+O51+S51+W51+AA51+AE51+AI51</f>
        <v>0</v>
      </c>
      <c r="AK51" s="28" t="n">
        <f aca="false">IF(E51&gt;0,E51-N(G50),0)+IF(I51&gt;0,I51-N(K50),0)+IF(M51&gt;0,M51-N(O50),0)+IF(Q51&gt;0,Q51-N(S50),0)+IF(U51&gt;0,U51-N(W50),0)+IF(Y51&gt;0,Y51-N(AA50),0)+IF(AC51&gt;0,AC51-N(AE50),0)+IF(AG51&gt;0,AG51-N(AI50),0)</f>
        <v>0</v>
      </c>
    </row>
    <row r="52" customFormat="false" ht="15" hidden="false" customHeight="false" outlineLevel="0" collapsed="false">
      <c r="A52" s="25" t="n">
        <v>47</v>
      </c>
      <c r="B52" s="26" t="n">
        <f aca="false">EDATE('Min gæld'!$C$16,46)</f>
        <v>47788</v>
      </c>
      <c r="C52" s="27" t="n">
        <f aca="false">N('Min gæld'!$C$15)+IF(N(G51)&lt;=0.005,N('Min gæld'!$E$5),0)+IF(N(K51)&lt;=0.005,N('Min gæld'!$E$6),0)+IF(N(O51)&lt;=0.005,N('Min gæld'!$E$7),0)+IF(N(S51)&lt;=0.005,N('Min gæld'!$E$8),0)+IF(N(W51)&lt;=0.005,N('Min gæld'!$E$9),0)+IF(N(AA51)&lt;=0.005,N('Min gæld'!$E$10),0)+IF(N(AE51)&lt;=0.005,N('Min gæld'!$E$11),0)+IF(N(AI51)&lt;=0.005,N('Min gæld'!$E$12),0)</f>
        <v>4800</v>
      </c>
      <c r="D52" s="27" t="n">
        <f aca="false">MAX(0,C52)</f>
        <v>4800</v>
      </c>
      <c r="E52" s="27" t="n">
        <f aca="false">IF(N(G51)&lt;=0.005,0,N(G51)*(1+N('Min gæld'!$D$5)/12))</f>
        <v>0</v>
      </c>
      <c r="F52" s="27" t="n">
        <f aca="false">IF(E52&lt;=0,0,MIN(E52,N('Min gæld'!$E$5)+D52))</f>
        <v>0</v>
      </c>
      <c r="G52" s="27" t="n">
        <f aca="false">IF(E52-F52&lt;0.005,0,E52-F52)</f>
        <v>0</v>
      </c>
      <c r="H52" s="27" t="n">
        <f aca="false">MAX(0,IF(N(G51)&lt;=0.005,D52,D52+N('Min gæld'!$E$5)-F52))</f>
        <v>4800</v>
      </c>
      <c r="I52" s="27" t="n">
        <f aca="false">IF(N(K51)&lt;=0.005,0,N(K51)*(1+N('Min gæld'!$D$6)/12))</f>
        <v>0</v>
      </c>
      <c r="J52" s="27" t="n">
        <f aca="false">IF(I52&lt;=0,0,MIN(I52,N('Min gæld'!$E$6)+H52))</f>
        <v>0</v>
      </c>
      <c r="K52" s="27" t="n">
        <f aca="false">IF(I52-J52&lt;0.005,0,I52-J52)</f>
        <v>0</v>
      </c>
      <c r="L52" s="27" t="n">
        <f aca="false">MAX(0,IF(N(K51)&lt;=0.005,H52,H52+N('Min gæld'!$E$6)-J52))</f>
        <v>4800</v>
      </c>
      <c r="M52" s="27" t="n">
        <f aca="false">IF(N(O51)&lt;=0.005,0,N(O51)*(1+N('Min gæld'!$D$7)/12))</f>
        <v>0</v>
      </c>
      <c r="N52" s="27" t="n">
        <f aca="false">IF(M52&lt;=0,0,MIN(M52,N('Min gæld'!$E$7)+L52))</f>
        <v>0</v>
      </c>
      <c r="O52" s="27" t="n">
        <f aca="false">IF(M52-N52&lt;0.005,0,M52-N52)</f>
        <v>0</v>
      </c>
      <c r="P52" s="27" t="n">
        <f aca="false">MAX(0,IF(N(O51)&lt;=0.005,L52,L52+N('Min gæld'!$E$7)-N52))</f>
        <v>4800</v>
      </c>
      <c r="Q52" s="27" t="n">
        <f aca="false">IF(N(S51)&lt;=0.005,0,N(S51)*(1+N('Min gæld'!$D$8)/12))</f>
        <v>0</v>
      </c>
      <c r="R52" s="27" t="n">
        <f aca="false">IF(Q52&lt;=0,0,MIN(Q52,N('Min gæld'!$E$8)+P52))</f>
        <v>0</v>
      </c>
      <c r="S52" s="27" t="n">
        <f aca="false">IF(Q52-R52&lt;0.005,0,Q52-R52)</f>
        <v>0</v>
      </c>
      <c r="T52" s="27" t="n">
        <f aca="false">MAX(0,IF(N(S51)&lt;=0.005,P52,P52+N('Min gæld'!$E$8)-R52))</f>
        <v>4800</v>
      </c>
      <c r="U52" s="27" t="n">
        <f aca="false">IF(N(W51)&lt;=0.005,0,N(W51)*(1+N('Min gæld'!$D$9)/12))</f>
        <v>0</v>
      </c>
      <c r="V52" s="27" t="n">
        <f aca="false">IF(U52&lt;=0,0,MIN(U52,N('Min gæld'!$E$9)+T52))</f>
        <v>0</v>
      </c>
      <c r="W52" s="27" t="n">
        <f aca="false">IF(U52-V52&lt;0.005,0,U52-V52)</f>
        <v>0</v>
      </c>
      <c r="X52" s="27" t="n">
        <f aca="false">MAX(0,IF(N(W51)&lt;=0.005,T52,T52+N('Min gæld'!$E$9)-V52))</f>
        <v>4800</v>
      </c>
      <c r="Y52" s="27" t="n">
        <f aca="false">IF(N(AA51)&lt;=0.005,0,N(AA51)*(1+N('Min gæld'!$D$10)/12))</f>
        <v>0</v>
      </c>
      <c r="Z52" s="27" t="n">
        <f aca="false">IF(Y52&lt;=0,0,MIN(Y52,N('Min gæld'!$E$10)+X52))</f>
        <v>0</v>
      </c>
      <c r="AA52" s="27" t="n">
        <f aca="false">IF(Y52-Z52&lt;0.005,0,Y52-Z52)</f>
        <v>0</v>
      </c>
      <c r="AB52" s="27" t="n">
        <f aca="false">MAX(0,IF(N(AA51)&lt;=0.005,X52,X52+N('Min gæld'!$E$10)-Z52))</f>
        <v>4800</v>
      </c>
      <c r="AC52" s="27" t="n">
        <f aca="false">IF(N(AE51)&lt;=0.005,0,N(AE51)*(1+N('Min gæld'!$D$11)/12))</f>
        <v>0</v>
      </c>
      <c r="AD52" s="27" t="n">
        <f aca="false">IF(AC52&lt;=0,0,MIN(AC52,N('Min gæld'!$E$11)+AB52))</f>
        <v>0</v>
      </c>
      <c r="AE52" s="27" t="n">
        <f aca="false">IF(AC52-AD52&lt;0.005,0,AC52-AD52)</f>
        <v>0</v>
      </c>
      <c r="AF52" s="27" t="n">
        <f aca="false">MAX(0,IF(N(AE51)&lt;=0.005,AB52,AB52+N('Min gæld'!$E$11)-AD52))</f>
        <v>4800</v>
      </c>
      <c r="AG52" s="27" t="n">
        <f aca="false">IF(N(AI51)&lt;=0.005,0,N(AI51)*(1+N('Min gæld'!$D$12)/12))</f>
        <v>0</v>
      </c>
      <c r="AH52" s="27" t="n">
        <f aca="false">IF(AG52&lt;=0,0,MIN(AG52,N('Min gæld'!$E$12)+AF52))</f>
        <v>0</v>
      </c>
      <c r="AI52" s="27" t="n">
        <f aca="false">IF(AG52-AH52&lt;0.005,0,AG52-AH52)</f>
        <v>0</v>
      </c>
      <c r="AJ52" s="27" t="n">
        <f aca="false">G52+K52+O52+S52+W52+AA52+AE52+AI52</f>
        <v>0</v>
      </c>
      <c r="AK52" s="28" t="n">
        <f aca="false">IF(E52&gt;0,E52-N(G51),0)+IF(I52&gt;0,I52-N(K51),0)+IF(M52&gt;0,M52-N(O51),0)+IF(Q52&gt;0,Q52-N(S51),0)+IF(U52&gt;0,U52-N(W51),0)+IF(Y52&gt;0,Y52-N(AA51),0)+IF(AC52&gt;0,AC52-N(AE51),0)+IF(AG52&gt;0,AG52-N(AI51),0)</f>
        <v>0</v>
      </c>
    </row>
    <row r="53" customFormat="false" ht="15" hidden="false" customHeight="false" outlineLevel="0" collapsed="false">
      <c r="A53" s="25" t="n">
        <v>48</v>
      </c>
      <c r="B53" s="26" t="n">
        <f aca="false">EDATE('Min gæld'!$C$16,47)</f>
        <v>47818</v>
      </c>
      <c r="C53" s="27" t="n">
        <f aca="false">N('Min gæld'!$C$15)+IF(N(G52)&lt;=0.005,N('Min gæld'!$E$5),0)+IF(N(K52)&lt;=0.005,N('Min gæld'!$E$6),0)+IF(N(O52)&lt;=0.005,N('Min gæld'!$E$7),0)+IF(N(S52)&lt;=0.005,N('Min gæld'!$E$8),0)+IF(N(W52)&lt;=0.005,N('Min gæld'!$E$9),0)+IF(N(AA52)&lt;=0.005,N('Min gæld'!$E$10),0)+IF(N(AE52)&lt;=0.005,N('Min gæld'!$E$11),0)+IF(N(AI52)&lt;=0.005,N('Min gæld'!$E$12),0)</f>
        <v>4800</v>
      </c>
      <c r="D53" s="27" t="n">
        <f aca="false">MAX(0,C53)</f>
        <v>4800</v>
      </c>
      <c r="E53" s="27" t="n">
        <f aca="false">IF(N(G52)&lt;=0.005,0,N(G52)*(1+N('Min gæld'!$D$5)/12))</f>
        <v>0</v>
      </c>
      <c r="F53" s="27" t="n">
        <f aca="false">IF(E53&lt;=0,0,MIN(E53,N('Min gæld'!$E$5)+D53))</f>
        <v>0</v>
      </c>
      <c r="G53" s="27" t="n">
        <f aca="false">IF(E53-F53&lt;0.005,0,E53-F53)</f>
        <v>0</v>
      </c>
      <c r="H53" s="27" t="n">
        <f aca="false">MAX(0,IF(N(G52)&lt;=0.005,D53,D53+N('Min gæld'!$E$5)-F53))</f>
        <v>4800</v>
      </c>
      <c r="I53" s="27" t="n">
        <f aca="false">IF(N(K52)&lt;=0.005,0,N(K52)*(1+N('Min gæld'!$D$6)/12))</f>
        <v>0</v>
      </c>
      <c r="J53" s="27" t="n">
        <f aca="false">IF(I53&lt;=0,0,MIN(I53,N('Min gæld'!$E$6)+H53))</f>
        <v>0</v>
      </c>
      <c r="K53" s="27" t="n">
        <f aca="false">IF(I53-J53&lt;0.005,0,I53-J53)</f>
        <v>0</v>
      </c>
      <c r="L53" s="27" t="n">
        <f aca="false">MAX(0,IF(N(K52)&lt;=0.005,H53,H53+N('Min gæld'!$E$6)-J53))</f>
        <v>4800</v>
      </c>
      <c r="M53" s="27" t="n">
        <f aca="false">IF(N(O52)&lt;=0.005,0,N(O52)*(1+N('Min gæld'!$D$7)/12))</f>
        <v>0</v>
      </c>
      <c r="N53" s="27" t="n">
        <f aca="false">IF(M53&lt;=0,0,MIN(M53,N('Min gæld'!$E$7)+L53))</f>
        <v>0</v>
      </c>
      <c r="O53" s="27" t="n">
        <f aca="false">IF(M53-N53&lt;0.005,0,M53-N53)</f>
        <v>0</v>
      </c>
      <c r="P53" s="27" t="n">
        <f aca="false">MAX(0,IF(N(O52)&lt;=0.005,L53,L53+N('Min gæld'!$E$7)-N53))</f>
        <v>4800</v>
      </c>
      <c r="Q53" s="27" t="n">
        <f aca="false">IF(N(S52)&lt;=0.005,0,N(S52)*(1+N('Min gæld'!$D$8)/12))</f>
        <v>0</v>
      </c>
      <c r="R53" s="27" t="n">
        <f aca="false">IF(Q53&lt;=0,0,MIN(Q53,N('Min gæld'!$E$8)+P53))</f>
        <v>0</v>
      </c>
      <c r="S53" s="27" t="n">
        <f aca="false">IF(Q53-R53&lt;0.005,0,Q53-R53)</f>
        <v>0</v>
      </c>
      <c r="T53" s="27" t="n">
        <f aca="false">MAX(0,IF(N(S52)&lt;=0.005,P53,P53+N('Min gæld'!$E$8)-R53))</f>
        <v>4800</v>
      </c>
      <c r="U53" s="27" t="n">
        <f aca="false">IF(N(W52)&lt;=0.005,0,N(W52)*(1+N('Min gæld'!$D$9)/12))</f>
        <v>0</v>
      </c>
      <c r="V53" s="27" t="n">
        <f aca="false">IF(U53&lt;=0,0,MIN(U53,N('Min gæld'!$E$9)+T53))</f>
        <v>0</v>
      </c>
      <c r="W53" s="27" t="n">
        <f aca="false">IF(U53-V53&lt;0.005,0,U53-V53)</f>
        <v>0</v>
      </c>
      <c r="X53" s="27" t="n">
        <f aca="false">MAX(0,IF(N(W52)&lt;=0.005,T53,T53+N('Min gæld'!$E$9)-V53))</f>
        <v>4800</v>
      </c>
      <c r="Y53" s="27" t="n">
        <f aca="false">IF(N(AA52)&lt;=0.005,0,N(AA52)*(1+N('Min gæld'!$D$10)/12))</f>
        <v>0</v>
      </c>
      <c r="Z53" s="27" t="n">
        <f aca="false">IF(Y53&lt;=0,0,MIN(Y53,N('Min gæld'!$E$10)+X53))</f>
        <v>0</v>
      </c>
      <c r="AA53" s="27" t="n">
        <f aca="false">IF(Y53-Z53&lt;0.005,0,Y53-Z53)</f>
        <v>0</v>
      </c>
      <c r="AB53" s="27" t="n">
        <f aca="false">MAX(0,IF(N(AA52)&lt;=0.005,X53,X53+N('Min gæld'!$E$10)-Z53))</f>
        <v>4800</v>
      </c>
      <c r="AC53" s="27" t="n">
        <f aca="false">IF(N(AE52)&lt;=0.005,0,N(AE52)*(1+N('Min gæld'!$D$11)/12))</f>
        <v>0</v>
      </c>
      <c r="AD53" s="27" t="n">
        <f aca="false">IF(AC53&lt;=0,0,MIN(AC53,N('Min gæld'!$E$11)+AB53))</f>
        <v>0</v>
      </c>
      <c r="AE53" s="27" t="n">
        <f aca="false">IF(AC53-AD53&lt;0.005,0,AC53-AD53)</f>
        <v>0</v>
      </c>
      <c r="AF53" s="27" t="n">
        <f aca="false">MAX(0,IF(N(AE52)&lt;=0.005,AB53,AB53+N('Min gæld'!$E$11)-AD53))</f>
        <v>4800</v>
      </c>
      <c r="AG53" s="27" t="n">
        <f aca="false">IF(N(AI52)&lt;=0.005,0,N(AI52)*(1+N('Min gæld'!$D$12)/12))</f>
        <v>0</v>
      </c>
      <c r="AH53" s="27" t="n">
        <f aca="false">IF(AG53&lt;=0,0,MIN(AG53,N('Min gæld'!$E$12)+AF53))</f>
        <v>0</v>
      </c>
      <c r="AI53" s="27" t="n">
        <f aca="false">IF(AG53-AH53&lt;0.005,0,AG53-AH53)</f>
        <v>0</v>
      </c>
      <c r="AJ53" s="27" t="n">
        <f aca="false">G53+K53+O53+S53+W53+AA53+AE53+AI53</f>
        <v>0</v>
      </c>
      <c r="AK53" s="28" t="n">
        <f aca="false">IF(E53&gt;0,E53-N(G52),0)+IF(I53&gt;0,I53-N(K52),0)+IF(M53&gt;0,M53-N(O52),0)+IF(Q53&gt;0,Q53-N(S52),0)+IF(U53&gt;0,U53-N(W52),0)+IF(Y53&gt;0,Y53-N(AA52),0)+IF(AC53&gt;0,AC53-N(AE52),0)+IF(AG53&gt;0,AG53-N(AI52),0)</f>
        <v>0</v>
      </c>
    </row>
    <row r="54" customFormat="false" ht="15" hidden="false" customHeight="false" outlineLevel="0" collapsed="false">
      <c r="A54" s="25" t="n">
        <v>49</v>
      </c>
      <c r="B54" s="26" t="n">
        <f aca="false">EDATE('Min gæld'!$C$16,48)</f>
        <v>47849</v>
      </c>
      <c r="C54" s="27" t="n">
        <f aca="false">N('Min gæld'!$C$15)+IF(N(G53)&lt;=0.005,N('Min gæld'!$E$5),0)+IF(N(K53)&lt;=0.005,N('Min gæld'!$E$6),0)+IF(N(O53)&lt;=0.005,N('Min gæld'!$E$7),0)+IF(N(S53)&lt;=0.005,N('Min gæld'!$E$8),0)+IF(N(W53)&lt;=0.005,N('Min gæld'!$E$9),0)+IF(N(AA53)&lt;=0.005,N('Min gæld'!$E$10),0)+IF(N(AE53)&lt;=0.005,N('Min gæld'!$E$11),0)+IF(N(AI53)&lt;=0.005,N('Min gæld'!$E$12),0)</f>
        <v>4800</v>
      </c>
      <c r="D54" s="27" t="n">
        <f aca="false">MAX(0,C54)</f>
        <v>4800</v>
      </c>
      <c r="E54" s="27" t="n">
        <f aca="false">IF(N(G53)&lt;=0.005,0,N(G53)*(1+N('Min gæld'!$D$5)/12))</f>
        <v>0</v>
      </c>
      <c r="F54" s="27" t="n">
        <f aca="false">IF(E54&lt;=0,0,MIN(E54,N('Min gæld'!$E$5)+D54))</f>
        <v>0</v>
      </c>
      <c r="G54" s="27" t="n">
        <f aca="false">IF(E54-F54&lt;0.005,0,E54-F54)</f>
        <v>0</v>
      </c>
      <c r="H54" s="27" t="n">
        <f aca="false">MAX(0,IF(N(G53)&lt;=0.005,D54,D54+N('Min gæld'!$E$5)-F54))</f>
        <v>4800</v>
      </c>
      <c r="I54" s="27" t="n">
        <f aca="false">IF(N(K53)&lt;=0.005,0,N(K53)*(1+N('Min gæld'!$D$6)/12))</f>
        <v>0</v>
      </c>
      <c r="J54" s="27" t="n">
        <f aca="false">IF(I54&lt;=0,0,MIN(I54,N('Min gæld'!$E$6)+H54))</f>
        <v>0</v>
      </c>
      <c r="K54" s="27" t="n">
        <f aca="false">IF(I54-J54&lt;0.005,0,I54-J54)</f>
        <v>0</v>
      </c>
      <c r="L54" s="27" t="n">
        <f aca="false">MAX(0,IF(N(K53)&lt;=0.005,H54,H54+N('Min gæld'!$E$6)-J54))</f>
        <v>4800</v>
      </c>
      <c r="M54" s="27" t="n">
        <f aca="false">IF(N(O53)&lt;=0.005,0,N(O53)*(1+N('Min gæld'!$D$7)/12))</f>
        <v>0</v>
      </c>
      <c r="N54" s="27" t="n">
        <f aca="false">IF(M54&lt;=0,0,MIN(M54,N('Min gæld'!$E$7)+L54))</f>
        <v>0</v>
      </c>
      <c r="O54" s="27" t="n">
        <f aca="false">IF(M54-N54&lt;0.005,0,M54-N54)</f>
        <v>0</v>
      </c>
      <c r="P54" s="27" t="n">
        <f aca="false">MAX(0,IF(N(O53)&lt;=0.005,L54,L54+N('Min gæld'!$E$7)-N54))</f>
        <v>4800</v>
      </c>
      <c r="Q54" s="27" t="n">
        <f aca="false">IF(N(S53)&lt;=0.005,0,N(S53)*(1+N('Min gæld'!$D$8)/12))</f>
        <v>0</v>
      </c>
      <c r="R54" s="27" t="n">
        <f aca="false">IF(Q54&lt;=0,0,MIN(Q54,N('Min gæld'!$E$8)+P54))</f>
        <v>0</v>
      </c>
      <c r="S54" s="27" t="n">
        <f aca="false">IF(Q54-R54&lt;0.005,0,Q54-R54)</f>
        <v>0</v>
      </c>
      <c r="T54" s="27" t="n">
        <f aca="false">MAX(0,IF(N(S53)&lt;=0.005,P54,P54+N('Min gæld'!$E$8)-R54))</f>
        <v>4800</v>
      </c>
      <c r="U54" s="27" t="n">
        <f aca="false">IF(N(W53)&lt;=0.005,0,N(W53)*(1+N('Min gæld'!$D$9)/12))</f>
        <v>0</v>
      </c>
      <c r="V54" s="27" t="n">
        <f aca="false">IF(U54&lt;=0,0,MIN(U54,N('Min gæld'!$E$9)+T54))</f>
        <v>0</v>
      </c>
      <c r="W54" s="27" t="n">
        <f aca="false">IF(U54-V54&lt;0.005,0,U54-V54)</f>
        <v>0</v>
      </c>
      <c r="X54" s="27" t="n">
        <f aca="false">MAX(0,IF(N(W53)&lt;=0.005,T54,T54+N('Min gæld'!$E$9)-V54))</f>
        <v>4800</v>
      </c>
      <c r="Y54" s="27" t="n">
        <f aca="false">IF(N(AA53)&lt;=0.005,0,N(AA53)*(1+N('Min gæld'!$D$10)/12))</f>
        <v>0</v>
      </c>
      <c r="Z54" s="27" t="n">
        <f aca="false">IF(Y54&lt;=0,0,MIN(Y54,N('Min gæld'!$E$10)+X54))</f>
        <v>0</v>
      </c>
      <c r="AA54" s="27" t="n">
        <f aca="false">IF(Y54-Z54&lt;0.005,0,Y54-Z54)</f>
        <v>0</v>
      </c>
      <c r="AB54" s="27" t="n">
        <f aca="false">MAX(0,IF(N(AA53)&lt;=0.005,X54,X54+N('Min gæld'!$E$10)-Z54))</f>
        <v>4800</v>
      </c>
      <c r="AC54" s="27" t="n">
        <f aca="false">IF(N(AE53)&lt;=0.005,0,N(AE53)*(1+N('Min gæld'!$D$11)/12))</f>
        <v>0</v>
      </c>
      <c r="AD54" s="27" t="n">
        <f aca="false">IF(AC54&lt;=0,0,MIN(AC54,N('Min gæld'!$E$11)+AB54))</f>
        <v>0</v>
      </c>
      <c r="AE54" s="27" t="n">
        <f aca="false">IF(AC54-AD54&lt;0.005,0,AC54-AD54)</f>
        <v>0</v>
      </c>
      <c r="AF54" s="27" t="n">
        <f aca="false">MAX(0,IF(N(AE53)&lt;=0.005,AB54,AB54+N('Min gæld'!$E$11)-AD54))</f>
        <v>4800</v>
      </c>
      <c r="AG54" s="27" t="n">
        <f aca="false">IF(N(AI53)&lt;=0.005,0,N(AI53)*(1+N('Min gæld'!$D$12)/12))</f>
        <v>0</v>
      </c>
      <c r="AH54" s="27" t="n">
        <f aca="false">IF(AG54&lt;=0,0,MIN(AG54,N('Min gæld'!$E$12)+AF54))</f>
        <v>0</v>
      </c>
      <c r="AI54" s="27" t="n">
        <f aca="false">IF(AG54-AH54&lt;0.005,0,AG54-AH54)</f>
        <v>0</v>
      </c>
      <c r="AJ54" s="27" t="n">
        <f aca="false">G54+K54+O54+S54+W54+AA54+AE54+AI54</f>
        <v>0</v>
      </c>
      <c r="AK54" s="28" t="n">
        <f aca="false">IF(E54&gt;0,E54-N(G53),0)+IF(I54&gt;0,I54-N(K53),0)+IF(M54&gt;0,M54-N(O53),0)+IF(Q54&gt;0,Q54-N(S53),0)+IF(U54&gt;0,U54-N(W53),0)+IF(Y54&gt;0,Y54-N(AA53),0)+IF(AC54&gt;0,AC54-N(AE53),0)+IF(AG54&gt;0,AG54-N(AI53),0)</f>
        <v>0</v>
      </c>
    </row>
    <row r="55" customFormat="false" ht="15" hidden="false" customHeight="false" outlineLevel="0" collapsed="false">
      <c r="A55" s="25" t="n">
        <v>50</v>
      </c>
      <c r="B55" s="26" t="n">
        <f aca="false">EDATE('Min gæld'!$C$16,49)</f>
        <v>47880</v>
      </c>
      <c r="C55" s="27" t="n">
        <f aca="false">N('Min gæld'!$C$15)+IF(N(G54)&lt;=0.005,N('Min gæld'!$E$5),0)+IF(N(K54)&lt;=0.005,N('Min gæld'!$E$6),0)+IF(N(O54)&lt;=0.005,N('Min gæld'!$E$7),0)+IF(N(S54)&lt;=0.005,N('Min gæld'!$E$8),0)+IF(N(W54)&lt;=0.005,N('Min gæld'!$E$9),0)+IF(N(AA54)&lt;=0.005,N('Min gæld'!$E$10),0)+IF(N(AE54)&lt;=0.005,N('Min gæld'!$E$11),0)+IF(N(AI54)&lt;=0.005,N('Min gæld'!$E$12),0)</f>
        <v>4800</v>
      </c>
      <c r="D55" s="27" t="n">
        <f aca="false">MAX(0,C55)</f>
        <v>4800</v>
      </c>
      <c r="E55" s="27" t="n">
        <f aca="false">IF(N(G54)&lt;=0.005,0,N(G54)*(1+N('Min gæld'!$D$5)/12))</f>
        <v>0</v>
      </c>
      <c r="F55" s="27" t="n">
        <f aca="false">IF(E55&lt;=0,0,MIN(E55,N('Min gæld'!$E$5)+D55))</f>
        <v>0</v>
      </c>
      <c r="G55" s="27" t="n">
        <f aca="false">IF(E55-F55&lt;0.005,0,E55-F55)</f>
        <v>0</v>
      </c>
      <c r="H55" s="27" t="n">
        <f aca="false">MAX(0,IF(N(G54)&lt;=0.005,D55,D55+N('Min gæld'!$E$5)-F55))</f>
        <v>4800</v>
      </c>
      <c r="I55" s="27" t="n">
        <f aca="false">IF(N(K54)&lt;=0.005,0,N(K54)*(1+N('Min gæld'!$D$6)/12))</f>
        <v>0</v>
      </c>
      <c r="J55" s="27" t="n">
        <f aca="false">IF(I55&lt;=0,0,MIN(I55,N('Min gæld'!$E$6)+H55))</f>
        <v>0</v>
      </c>
      <c r="K55" s="27" t="n">
        <f aca="false">IF(I55-J55&lt;0.005,0,I55-J55)</f>
        <v>0</v>
      </c>
      <c r="L55" s="27" t="n">
        <f aca="false">MAX(0,IF(N(K54)&lt;=0.005,H55,H55+N('Min gæld'!$E$6)-J55))</f>
        <v>4800</v>
      </c>
      <c r="M55" s="27" t="n">
        <f aca="false">IF(N(O54)&lt;=0.005,0,N(O54)*(1+N('Min gæld'!$D$7)/12))</f>
        <v>0</v>
      </c>
      <c r="N55" s="27" t="n">
        <f aca="false">IF(M55&lt;=0,0,MIN(M55,N('Min gæld'!$E$7)+L55))</f>
        <v>0</v>
      </c>
      <c r="O55" s="27" t="n">
        <f aca="false">IF(M55-N55&lt;0.005,0,M55-N55)</f>
        <v>0</v>
      </c>
      <c r="P55" s="27" t="n">
        <f aca="false">MAX(0,IF(N(O54)&lt;=0.005,L55,L55+N('Min gæld'!$E$7)-N55))</f>
        <v>4800</v>
      </c>
      <c r="Q55" s="27" t="n">
        <f aca="false">IF(N(S54)&lt;=0.005,0,N(S54)*(1+N('Min gæld'!$D$8)/12))</f>
        <v>0</v>
      </c>
      <c r="R55" s="27" t="n">
        <f aca="false">IF(Q55&lt;=0,0,MIN(Q55,N('Min gæld'!$E$8)+P55))</f>
        <v>0</v>
      </c>
      <c r="S55" s="27" t="n">
        <f aca="false">IF(Q55-R55&lt;0.005,0,Q55-R55)</f>
        <v>0</v>
      </c>
      <c r="T55" s="27" t="n">
        <f aca="false">MAX(0,IF(N(S54)&lt;=0.005,P55,P55+N('Min gæld'!$E$8)-R55))</f>
        <v>4800</v>
      </c>
      <c r="U55" s="27" t="n">
        <f aca="false">IF(N(W54)&lt;=0.005,0,N(W54)*(1+N('Min gæld'!$D$9)/12))</f>
        <v>0</v>
      </c>
      <c r="V55" s="27" t="n">
        <f aca="false">IF(U55&lt;=0,0,MIN(U55,N('Min gæld'!$E$9)+T55))</f>
        <v>0</v>
      </c>
      <c r="W55" s="27" t="n">
        <f aca="false">IF(U55-V55&lt;0.005,0,U55-V55)</f>
        <v>0</v>
      </c>
      <c r="X55" s="27" t="n">
        <f aca="false">MAX(0,IF(N(W54)&lt;=0.005,T55,T55+N('Min gæld'!$E$9)-V55))</f>
        <v>4800</v>
      </c>
      <c r="Y55" s="27" t="n">
        <f aca="false">IF(N(AA54)&lt;=0.005,0,N(AA54)*(1+N('Min gæld'!$D$10)/12))</f>
        <v>0</v>
      </c>
      <c r="Z55" s="27" t="n">
        <f aca="false">IF(Y55&lt;=0,0,MIN(Y55,N('Min gæld'!$E$10)+X55))</f>
        <v>0</v>
      </c>
      <c r="AA55" s="27" t="n">
        <f aca="false">IF(Y55-Z55&lt;0.005,0,Y55-Z55)</f>
        <v>0</v>
      </c>
      <c r="AB55" s="27" t="n">
        <f aca="false">MAX(0,IF(N(AA54)&lt;=0.005,X55,X55+N('Min gæld'!$E$10)-Z55))</f>
        <v>4800</v>
      </c>
      <c r="AC55" s="27" t="n">
        <f aca="false">IF(N(AE54)&lt;=0.005,0,N(AE54)*(1+N('Min gæld'!$D$11)/12))</f>
        <v>0</v>
      </c>
      <c r="AD55" s="27" t="n">
        <f aca="false">IF(AC55&lt;=0,0,MIN(AC55,N('Min gæld'!$E$11)+AB55))</f>
        <v>0</v>
      </c>
      <c r="AE55" s="27" t="n">
        <f aca="false">IF(AC55-AD55&lt;0.005,0,AC55-AD55)</f>
        <v>0</v>
      </c>
      <c r="AF55" s="27" t="n">
        <f aca="false">MAX(0,IF(N(AE54)&lt;=0.005,AB55,AB55+N('Min gæld'!$E$11)-AD55))</f>
        <v>4800</v>
      </c>
      <c r="AG55" s="27" t="n">
        <f aca="false">IF(N(AI54)&lt;=0.005,0,N(AI54)*(1+N('Min gæld'!$D$12)/12))</f>
        <v>0</v>
      </c>
      <c r="AH55" s="27" t="n">
        <f aca="false">IF(AG55&lt;=0,0,MIN(AG55,N('Min gæld'!$E$12)+AF55))</f>
        <v>0</v>
      </c>
      <c r="AI55" s="27" t="n">
        <f aca="false">IF(AG55-AH55&lt;0.005,0,AG55-AH55)</f>
        <v>0</v>
      </c>
      <c r="AJ55" s="27" t="n">
        <f aca="false">G55+K55+O55+S55+W55+AA55+AE55+AI55</f>
        <v>0</v>
      </c>
      <c r="AK55" s="28" t="n">
        <f aca="false">IF(E55&gt;0,E55-N(G54),0)+IF(I55&gt;0,I55-N(K54),0)+IF(M55&gt;0,M55-N(O54),0)+IF(Q55&gt;0,Q55-N(S54),0)+IF(U55&gt;0,U55-N(W54),0)+IF(Y55&gt;0,Y55-N(AA54),0)+IF(AC55&gt;0,AC55-N(AE54),0)+IF(AG55&gt;0,AG55-N(AI54),0)</f>
        <v>0</v>
      </c>
    </row>
    <row r="56" customFormat="false" ht="15" hidden="false" customHeight="false" outlineLevel="0" collapsed="false">
      <c r="A56" s="25" t="n">
        <v>51</v>
      </c>
      <c r="B56" s="26" t="n">
        <f aca="false">EDATE('Min gæld'!$C$16,50)</f>
        <v>47908</v>
      </c>
      <c r="C56" s="27" t="n">
        <f aca="false">N('Min gæld'!$C$15)+IF(N(G55)&lt;=0.005,N('Min gæld'!$E$5),0)+IF(N(K55)&lt;=0.005,N('Min gæld'!$E$6),0)+IF(N(O55)&lt;=0.005,N('Min gæld'!$E$7),0)+IF(N(S55)&lt;=0.005,N('Min gæld'!$E$8),0)+IF(N(W55)&lt;=0.005,N('Min gæld'!$E$9),0)+IF(N(AA55)&lt;=0.005,N('Min gæld'!$E$10),0)+IF(N(AE55)&lt;=0.005,N('Min gæld'!$E$11),0)+IF(N(AI55)&lt;=0.005,N('Min gæld'!$E$12),0)</f>
        <v>4800</v>
      </c>
      <c r="D56" s="27" t="n">
        <f aca="false">MAX(0,C56)</f>
        <v>4800</v>
      </c>
      <c r="E56" s="27" t="n">
        <f aca="false">IF(N(G55)&lt;=0.005,0,N(G55)*(1+N('Min gæld'!$D$5)/12))</f>
        <v>0</v>
      </c>
      <c r="F56" s="27" t="n">
        <f aca="false">IF(E56&lt;=0,0,MIN(E56,N('Min gæld'!$E$5)+D56))</f>
        <v>0</v>
      </c>
      <c r="G56" s="27" t="n">
        <f aca="false">IF(E56-F56&lt;0.005,0,E56-F56)</f>
        <v>0</v>
      </c>
      <c r="H56" s="27" t="n">
        <f aca="false">MAX(0,IF(N(G55)&lt;=0.005,D56,D56+N('Min gæld'!$E$5)-F56))</f>
        <v>4800</v>
      </c>
      <c r="I56" s="27" t="n">
        <f aca="false">IF(N(K55)&lt;=0.005,0,N(K55)*(1+N('Min gæld'!$D$6)/12))</f>
        <v>0</v>
      </c>
      <c r="J56" s="27" t="n">
        <f aca="false">IF(I56&lt;=0,0,MIN(I56,N('Min gæld'!$E$6)+H56))</f>
        <v>0</v>
      </c>
      <c r="K56" s="27" t="n">
        <f aca="false">IF(I56-J56&lt;0.005,0,I56-J56)</f>
        <v>0</v>
      </c>
      <c r="L56" s="27" t="n">
        <f aca="false">MAX(0,IF(N(K55)&lt;=0.005,H56,H56+N('Min gæld'!$E$6)-J56))</f>
        <v>4800</v>
      </c>
      <c r="M56" s="27" t="n">
        <f aca="false">IF(N(O55)&lt;=0.005,0,N(O55)*(1+N('Min gæld'!$D$7)/12))</f>
        <v>0</v>
      </c>
      <c r="N56" s="27" t="n">
        <f aca="false">IF(M56&lt;=0,0,MIN(M56,N('Min gæld'!$E$7)+L56))</f>
        <v>0</v>
      </c>
      <c r="O56" s="27" t="n">
        <f aca="false">IF(M56-N56&lt;0.005,0,M56-N56)</f>
        <v>0</v>
      </c>
      <c r="P56" s="27" t="n">
        <f aca="false">MAX(0,IF(N(O55)&lt;=0.005,L56,L56+N('Min gæld'!$E$7)-N56))</f>
        <v>4800</v>
      </c>
      <c r="Q56" s="27" t="n">
        <f aca="false">IF(N(S55)&lt;=0.005,0,N(S55)*(1+N('Min gæld'!$D$8)/12))</f>
        <v>0</v>
      </c>
      <c r="R56" s="27" t="n">
        <f aca="false">IF(Q56&lt;=0,0,MIN(Q56,N('Min gæld'!$E$8)+P56))</f>
        <v>0</v>
      </c>
      <c r="S56" s="27" t="n">
        <f aca="false">IF(Q56-R56&lt;0.005,0,Q56-R56)</f>
        <v>0</v>
      </c>
      <c r="T56" s="27" t="n">
        <f aca="false">MAX(0,IF(N(S55)&lt;=0.005,P56,P56+N('Min gæld'!$E$8)-R56))</f>
        <v>4800</v>
      </c>
      <c r="U56" s="27" t="n">
        <f aca="false">IF(N(W55)&lt;=0.005,0,N(W55)*(1+N('Min gæld'!$D$9)/12))</f>
        <v>0</v>
      </c>
      <c r="V56" s="27" t="n">
        <f aca="false">IF(U56&lt;=0,0,MIN(U56,N('Min gæld'!$E$9)+T56))</f>
        <v>0</v>
      </c>
      <c r="W56" s="27" t="n">
        <f aca="false">IF(U56-V56&lt;0.005,0,U56-V56)</f>
        <v>0</v>
      </c>
      <c r="X56" s="27" t="n">
        <f aca="false">MAX(0,IF(N(W55)&lt;=0.005,T56,T56+N('Min gæld'!$E$9)-V56))</f>
        <v>4800</v>
      </c>
      <c r="Y56" s="27" t="n">
        <f aca="false">IF(N(AA55)&lt;=0.005,0,N(AA55)*(1+N('Min gæld'!$D$10)/12))</f>
        <v>0</v>
      </c>
      <c r="Z56" s="27" t="n">
        <f aca="false">IF(Y56&lt;=0,0,MIN(Y56,N('Min gæld'!$E$10)+X56))</f>
        <v>0</v>
      </c>
      <c r="AA56" s="27" t="n">
        <f aca="false">IF(Y56-Z56&lt;0.005,0,Y56-Z56)</f>
        <v>0</v>
      </c>
      <c r="AB56" s="27" t="n">
        <f aca="false">MAX(0,IF(N(AA55)&lt;=0.005,X56,X56+N('Min gæld'!$E$10)-Z56))</f>
        <v>4800</v>
      </c>
      <c r="AC56" s="27" t="n">
        <f aca="false">IF(N(AE55)&lt;=0.005,0,N(AE55)*(1+N('Min gæld'!$D$11)/12))</f>
        <v>0</v>
      </c>
      <c r="AD56" s="27" t="n">
        <f aca="false">IF(AC56&lt;=0,0,MIN(AC56,N('Min gæld'!$E$11)+AB56))</f>
        <v>0</v>
      </c>
      <c r="AE56" s="27" t="n">
        <f aca="false">IF(AC56-AD56&lt;0.005,0,AC56-AD56)</f>
        <v>0</v>
      </c>
      <c r="AF56" s="27" t="n">
        <f aca="false">MAX(0,IF(N(AE55)&lt;=0.005,AB56,AB56+N('Min gæld'!$E$11)-AD56))</f>
        <v>4800</v>
      </c>
      <c r="AG56" s="27" t="n">
        <f aca="false">IF(N(AI55)&lt;=0.005,0,N(AI55)*(1+N('Min gæld'!$D$12)/12))</f>
        <v>0</v>
      </c>
      <c r="AH56" s="27" t="n">
        <f aca="false">IF(AG56&lt;=0,0,MIN(AG56,N('Min gæld'!$E$12)+AF56))</f>
        <v>0</v>
      </c>
      <c r="AI56" s="27" t="n">
        <f aca="false">IF(AG56-AH56&lt;0.005,0,AG56-AH56)</f>
        <v>0</v>
      </c>
      <c r="AJ56" s="27" t="n">
        <f aca="false">G56+K56+O56+S56+W56+AA56+AE56+AI56</f>
        <v>0</v>
      </c>
      <c r="AK56" s="28" t="n">
        <f aca="false">IF(E56&gt;0,E56-N(G55),0)+IF(I56&gt;0,I56-N(K55),0)+IF(M56&gt;0,M56-N(O55),0)+IF(Q56&gt;0,Q56-N(S55),0)+IF(U56&gt;0,U56-N(W55),0)+IF(Y56&gt;0,Y56-N(AA55),0)+IF(AC56&gt;0,AC56-N(AE55),0)+IF(AG56&gt;0,AG56-N(AI55),0)</f>
        <v>0</v>
      </c>
    </row>
    <row r="57" customFormat="false" ht="15" hidden="false" customHeight="false" outlineLevel="0" collapsed="false">
      <c r="A57" s="25" t="n">
        <v>52</v>
      </c>
      <c r="B57" s="26" t="n">
        <f aca="false">EDATE('Min gæld'!$C$16,51)</f>
        <v>47939</v>
      </c>
      <c r="C57" s="27" t="n">
        <f aca="false">N('Min gæld'!$C$15)+IF(N(G56)&lt;=0.005,N('Min gæld'!$E$5),0)+IF(N(K56)&lt;=0.005,N('Min gæld'!$E$6),0)+IF(N(O56)&lt;=0.005,N('Min gæld'!$E$7),0)+IF(N(S56)&lt;=0.005,N('Min gæld'!$E$8),0)+IF(N(W56)&lt;=0.005,N('Min gæld'!$E$9),0)+IF(N(AA56)&lt;=0.005,N('Min gæld'!$E$10),0)+IF(N(AE56)&lt;=0.005,N('Min gæld'!$E$11),0)+IF(N(AI56)&lt;=0.005,N('Min gæld'!$E$12),0)</f>
        <v>4800</v>
      </c>
      <c r="D57" s="27" t="n">
        <f aca="false">MAX(0,C57)</f>
        <v>4800</v>
      </c>
      <c r="E57" s="27" t="n">
        <f aca="false">IF(N(G56)&lt;=0.005,0,N(G56)*(1+N('Min gæld'!$D$5)/12))</f>
        <v>0</v>
      </c>
      <c r="F57" s="27" t="n">
        <f aca="false">IF(E57&lt;=0,0,MIN(E57,N('Min gæld'!$E$5)+D57))</f>
        <v>0</v>
      </c>
      <c r="G57" s="27" t="n">
        <f aca="false">IF(E57-F57&lt;0.005,0,E57-F57)</f>
        <v>0</v>
      </c>
      <c r="H57" s="27" t="n">
        <f aca="false">MAX(0,IF(N(G56)&lt;=0.005,D57,D57+N('Min gæld'!$E$5)-F57))</f>
        <v>4800</v>
      </c>
      <c r="I57" s="27" t="n">
        <f aca="false">IF(N(K56)&lt;=0.005,0,N(K56)*(1+N('Min gæld'!$D$6)/12))</f>
        <v>0</v>
      </c>
      <c r="J57" s="27" t="n">
        <f aca="false">IF(I57&lt;=0,0,MIN(I57,N('Min gæld'!$E$6)+H57))</f>
        <v>0</v>
      </c>
      <c r="K57" s="27" t="n">
        <f aca="false">IF(I57-J57&lt;0.005,0,I57-J57)</f>
        <v>0</v>
      </c>
      <c r="L57" s="27" t="n">
        <f aca="false">MAX(0,IF(N(K56)&lt;=0.005,H57,H57+N('Min gæld'!$E$6)-J57))</f>
        <v>4800</v>
      </c>
      <c r="M57" s="27" t="n">
        <f aca="false">IF(N(O56)&lt;=0.005,0,N(O56)*(1+N('Min gæld'!$D$7)/12))</f>
        <v>0</v>
      </c>
      <c r="N57" s="27" t="n">
        <f aca="false">IF(M57&lt;=0,0,MIN(M57,N('Min gæld'!$E$7)+L57))</f>
        <v>0</v>
      </c>
      <c r="O57" s="27" t="n">
        <f aca="false">IF(M57-N57&lt;0.005,0,M57-N57)</f>
        <v>0</v>
      </c>
      <c r="P57" s="27" t="n">
        <f aca="false">MAX(0,IF(N(O56)&lt;=0.005,L57,L57+N('Min gæld'!$E$7)-N57))</f>
        <v>4800</v>
      </c>
      <c r="Q57" s="27" t="n">
        <f aca="false">IF(N(S56)&lt;=0.005,0,N(S56)*(1+N('Min gæld'!$D$8)/12))</f>
        <v>0</v>
      </c>
      <c r="R57" s="27" t="n">
        <f aca="false">IF(Q57&lt;=0,0,MIN(Q57,N('Min gæld'!$E$8)+P57))</f>
        <v>0</v>
      </c>
      <c r="S57" s="27" t="n">
        <f aca="false">IF(Q57-R57&lt;0.005,0,Q57-R57)</f>
        <v>0</v>
      </c>
      <c r="T57" s="27" t="n">
        <f aca="false">MAX(0,IF(N(S56)&lt;=0.005,P57,P57+N('Min gæld'!$E$8)-R57))</f>
        <v>4800</v>
      </c>
      <c r="U57" s="27" t="n">
        <f aca="false">IF(N(W56)&lt;=0.005,0,N(W56)*(1+N('Min gæld'!$D$9)/12))</f>
        <v>0</v>
      </c>
      <c r="V57" s="27" t="n">
        <f aca="false">IF(U57&lt;=0,0,MIN(U57,N('Min gæld'!$E$9)+T57))</f>
        <v>0</v>
      </c>
      <c r="W57" s="27" t="n">
        <f aca="false">IF(U57-V57&lt;0.005,0,U57-V57)</f>
        <v>0</v>
      </c>
      <c r="X57" s="27" t="n">
        <f aca="false">MAX(0,IF(N(W56)&lt;=0.005,T57,T57+N('Min gæld'!$E$9)-V57))</f>
        <v>4800</v>
      </c>
      <c r="Y57" s="27" t="n">
        <f aca="false">IF(N(AA56)&lt;=0.005,0,N(AA56)*(1+N('Min gæld'!$D$10)/12))</f>
        <v>0</v>
      </c>
      <c r="Z57" s="27" t="n">
        <f aca="false">IF(Y57&lt;=0,0,MIN(Y57,N('Min gæld'!$E$10)+X57))</f>
        <v>0</v>
      </c>
      <c r="AA57" s="27" t="n">
        <f aca="false">IF(Y57-Z57&lt;0.005,0,Y57-Z57)</f>
        <v>0</v>
      </c>
      <c r="AB57" s="27" t="n">
        <f aca="false">MAX(0,IF(N(AA56)&lt;=0.005,X57,X57+N('Min gæld'!$E$10)-Z57))</f>
        <v>4800</v>
      </c>
      <c r="AC57" s="27" t="n">
        <f aca="false">IF(N(AE56)&lt;=0.005,0,N(AE56)*(1+N('Min gæld'!$D$11)/12))</f>
        <v>0</v>
      </c>
      <c r="AD57" s="27" t="n">
        <f aca="false">IF(AC57&lt;=0,0,MIN(AC57,N('Min gæld'!$E$11)+AB57))</f>
        <v>0</v>
      </c>
      <c r="AE57" s="27" t="n">
        <f aca="false">IF(AC57-AD57&lt;0.005,0,AC57-AD57)</f>
        <v>0</v>
      </c>
      <c r="AF57" s="27" t="n">
        <f aca="false">MAX(0,IF(N(AE56)&lt;=0.005,AB57,AB57+N('Min gæld'!$E$11)-AD57))</f>
        <v>4800</v>
      </c>
      <c r="AG57" s="27" t="n">
        <f aca="false">IF(N(AI56)&lt;=0.005,0,N(AI56)*(1+N('Min gæld'!$D$12)/12))</f>
        <v>0</v>
      </c>
      <c r="AH57" s="27" t="n">
        <f aca="false">IF(AG57&lt;=0,0,MIN(AG57,N('Min gæld'!$E$12)+AF57))</f>
        <v>0</v>
      </c>
      <c r="AI57" s="27" t="n">
        <f aca="false">IF(AG57-AH57&lt;0.005,0,AG57-AH57)</f>
        <v>0</v>
      </c>
      <c r="AJ57" s="27" t="n">
        <f aca="false">G57+K57+O57+S57+W57+AA57+AE57+AI57</f>
        <v>0</v>
      </c>
      <c r="AK57" s="28" t="n">
        <f aca="false">IF(E57&gt;0,E57-N(G56),0)+IF(I57&gt;0,I57-N(K56),0)+IF(M57&gt;0,M57-N(O56),0)+IF(Q57&gt;0,Q57-N(S56),0)+IF(U57&gt;0,U57-N(W56),0)+IF(Y57&gt;0,Y57-N(AA56),0)+IF(AC57&gt;0,AC57-N(AE56),0)+IF(AG57&gt;0,AG57-N(AI56),0)</f>
        <v>0</v>
      </c>
    </row>
    <row r="58" customFormat="false" ht="15" hidden="false" customHeight="false" outlineLevel="0" collapsed="false">
      <c r="A58" s="25" t="n">
        <v>53</v>
      </c>
      <c r="B58" s="26" t="n">
        <f aca="false">EDATE('Min gæld'!$C$16,52)</f>
        <v>47969</v>
      </c>
      <c r="C58" s="27" t="n">
        <f aca="false">N('Min gæld'!$C$15)+IF(N(G57)&lt;=0.005,N('Min gæld'!$E$5),0)+IF(N(K57)&lt;=0.005,N('Min gæld'!$E$6),0)+IF(N(O57)&lt;=0.005,N('Min gæld'!$E$7),0)+IF(N(S57)&lt;=0.005,N('Min gæld'!$E$8),0)+IF(N(W57)&lt;=0.005,N('Min gæld'!$E$9),0)+IF(N(AA57)&lt;=0.005,N('Min gæld'!$E$10),0)+IF(N(AE57)&lt;=0.005,N('Min gæld'!$E$11),0)+IF(N(AI57)&lt;=0.005,N('Min gæld'!$E$12),0)</f>
        <v>4800</v>
      </c>
      <c r="D58" s="27" t="n">
        <f aca="false">MAX(0,C58)</f>
        <v>4800</v>
      </c>
      <c r="E58" s="27" t="n">
        <f aca="false">IF(N(G57)&lt;=0.005,0,N(G57)*(1+N('Min gæld'!$D$5)/12))</f>
        <v>0</v>
      </c>
      <c r="F58" s="27" t="n">
        <f aca="false">IF(E58&lt;=0,0,MIN(E58,N('Min gæld'!$E$5)+D58))</f>
        <v>0</v>
      </c>
      <c r="G58" s="27" t="n">
        <f aca="false">IF(E58-F58&lt;0.005,0,E58-F58)</f>
        <v>0</v>
      </c>
      <c r="H58" s="27" t="n">
        <f aca="false">MAX(0,IF(N(G57)&lt;=0.005,D58,D58+N('Min gæld'!$E$5)-F58))</f>
        <v>4800</v>
      </c>
      <c r="I58" s="27" t="n">
        <f aca="false">IF(N(K57)&lt;=0.005,0,N(K57)*(1+N('Min gæld'!$D$6)/12))</f>
        <v>0</v>
      </c>
      <c r="J58" s="27" t="n">
        <f aca="false">IF(I58&lt;=0,0,MIN(I58,N('Min gæld'!$E$6)+H58))</f>
        <v>0</v>
      </c>
      <c r="K58" s="27" t="n">
        <f aca="false">IF(I58-J58&lt;0.005,0,I58-J58)</f>
        <v>0</v>
      </c>
      <c r="L58" s="27" t="n">
        <f aca="false">MAX(0,IF(N(K57)&lt;=0.005,H58,H58+N('Min gæld'!$E$6)-J58))</f>
        <v>4800</v>
      </c>
      <c r="M58" s="27" t="n">
        <f aca="false">IF(N(O57)&lt;=0.005,0,N(O57)*(1+N('Min gæld'!$D$7)/12))</f>
        <v>0</v>
      </c>
      <c r="N58" s="27" t="n">
        <f aca="false">IF(M58&lt;=0,0,MIN(M58,N('Min gæld'!$E$7)+L58))</f>
        <v>0</v>
      </c>
      <c r="O58" s="27" t="n">
        <f aca="false">IF(M58-N58&lt;0.005,0,M58-N58)</f>
        <v>0</v>
      </c>
      <c r="P58" s="27" t="n">
        <f aca="false">MAX(0,IF(N(O57)&lt;=0.005,L58,L58+N('Min gæld'!$E$7)-N58))</f>
        <v>4800</v>
      </c>
      <c r="Q58" s="27" t="n">
        <f aca="false">IF(N(S57)&lt;=0.005,0,N(S57)*(1+N('Min gæld'!$D$8)/12))</f>
        <v>0</v>
      </c>
      <c r="R58" s="27" t="n">
        <f aca="false">IF(Q58&lt;=0,0,MIN(Q58,N('Min gæld'!$E$8)+P58))</f>
        <v>0</v>
      </c>
      <c r="S58" s="27" t="n">
        <f aca="false">IF(Q58-R58&lt;0.005,0,Q58-R58)</f>
        <v>0</v>
      </c>
      <c r="T58" s="27" t="n">
        <f aca="false">MAX(0,IF(N(S57)&lt;=0.005,P58,P58+N('Min gæld'!$E$8)-R58))</f>
        <v>4800</v>
      </c>
      <c r="U58" s="27" t="n">
        <f aca="false">IF(N(W57)&lt;=0.005,0,N(W57)*(1+N('Min gæld'!$D$9)/12))</f>
        <v>0</v>
      </c>
      <c r="V58" s="27" t="n">
        <f aca="false">IF(U58&lt;=0,0,MIN(U58,N('Min gæld'!$E$9)+T58))</f>
        <v>0</v>
      </c>
      <c r="W58" s="27" t="n">
        <f aca="false">IF(U58-V58&lt;0.005,0,U58-V58)</f>
        <v>0</v>
      </c>
      <c r="X58" s="27" t="n">
        <f aca="false">MAX(0,IF(N(W57)&lt;=0.005,T58,T58+N('Min gæld'!$E$9)-V58))</f>
        <v>4800</v>
      </c>
      <c r="Y58" s="27" t="n">
        <f aca="false">IF(N(AA57)&lt;=0.005,0,N(AA57)*(1+N('Min gæld'!$D$10)/12))</f>
        <v>0</v>
      </c>
      <c r="Z58" s="27" t="n">
        <f aca="false">IF(Y58&lt;=0,0,MIN(Y58,N('Min gæld'!$E$10)+X58))</f>
        <v>0</v>
      </c>
      <c r="AA58" s="27" t="n">
        <f aca="false">IF(Y58-Z58&lt;0.005,0,Y58-Z58)</f>
        <v>0</v>
      </c>
      <c r="AB58" s="27" t="n">
        <f aca="false">MAX(0,IF(N(AA57)&lt;=0.005,X58,X58+N('Min gæld'!$E$10)-Z58))</f>
        <v>4800</v>
      </c>
      <c r="AC58" s="27" t="n">
        <f aca="false">IF(N(AE57)&lt;=0.005,0,N(AE57)*(1+N('Min gæld'!$D$11)/12))</f>
        <v>0</v>
      </c>
      <c r="AD58" s="27" t="n">
        <f aca="false">IF(AC58&lt;=0,0,MIN(AC58,N('Min gæld'!$E$11)+AB58))</f>
        <v>0</v>
      </c>
      <c r="AE58" s="27" t="n">
        <f aca="false">IF(AC58-AD58&lt;0.005,0,AC58-AD58)</f>
        <v>0</v>
      </c>
      <c r="AF58" s="27" t="n">
        <f aca="false">MAX(0,IF(N(AE57)&lt;=0.005,AB58,AB58+N('Min gæld'!$E$11)-AD58))</f>
        <v>4800</v>
      </c>
      <c r="AG58" s="27" t="n">
        <f aca="false">IF(N(AI57)&lt;=0.005,0,N(AI57)*(1+N('Min gæld'!$D$12)/12))</f>
        <v>0</v>
      </c>
      <c r="AH58" s="27" t="n">
        <f aca="false">IF(AG58&lt;=0,0,MIN(AG58,N('Min gæld'!$E$12)+AF58))</f>
        <v>0</v>
      </c>
      <c r="AI58" s="27" t="n">
        <f aca="false">IF(AG58-AH58&lt;0.005,0,AG58-AH58)</f>
        <v>0</v>
      </c>
      <c r="AJ58" s="27" t="n">
        <f aca="false">G58+K58+O58+S58+W58+AA58+AE58+AI58</f>
        <v>0</v>
      </c>
      <c r="AK58" s="28" t="n">
        <f aca="false">IF(E58&gt;0,E58-N(G57),0)+IF(I58&gt;0,I58-N(K57),0)+IF(M58&gt;0,M58-N(O57),0)+IF(Q58&gt;0,Q58-N(S57),0)+IF(U58&gt;0,U58-N(W57),0)+IF(Y58&gt;0,Y58-N(AA57),0)+IF(AC58&gt;0,AC58-N(AE57),0)+IF(AG58&gt;0,AG58-N(AI57),0)</f>
        <v>0</v>
      </c>
    </row>
    <row r="59" customFormat="false" ht="15" hidden="false" customHeight="false" outlineLevel="0" collapsed="false">
      <c r="A59" s="25" t="n">
        <v>54</v>
      </c>
      <c r="B59" s="26" t="n">
        <f aca="false">EDATE('Min gæld'!$C$16,53)</f>
        <v>48000</v>
      </c>
      <c r="C59" s="27" t="n">
        <f aca="false">N('Min gæld'!$C$15)+IF(N(G58)&lt;=0.005,N('Min gæld'!$E$5),0)+IF(N(K58)&lt;=0.005,N('Min gæld'!$E$6),0)+IF(N(O58)&lt;=0.005,N('Min gæld'!$E$7),0)+IF(N(S58)&lt;=0.005,N('Min gæld'!$E$8),0)+IF(N(W58)&lt;=0.005,N('Min gæld'!$E$9),0)+IF(N(AA58)&lt;=0.005,N('Min gæld'!$E$10),0)+IF(N(AE58)&lt;=0.005,N('Min gæld'!$E$11),0)+IF(N(AI58)&lt;=0.005,N('Min gæld'!$E$12),0)</f>
        <v>4800</v>
      </c>
      <c r="D59" s="27" t="n">
        <f aca="false">MAX(0,C59)</f>
        <v>4800</v>
      </c>
      <c r="E59" s="27" t="n">
        <f aca="false">IF(N(G58)&lt;=0.005,0,N(G58)*(1+N('Min gæld'!$D$5)/12))</f>
        <v>0</v>
      </c>
      <c r="F59" s="27" t="n">
        <f aca="false">IF(E59&lt;=0,0,MIN(E59,N('Min gæld'!$E$5)+D59))</f>
        <v>0</v>
      </c>
      <c r="G59" s="27" t="n">
        <f aca="false">IF(E59-F59&lt;0.005,0,E59-F59)</f>
        <v>0</v>
      </c>
      <c r="H59" s="27" t="n">
        <f aca="false">MAX(0,IF(N(G58)&lt;=0.005,D59,D59+N('Min gæld'!$E$5)-F59))</f>
        <v>4800</v>
      </c>
      <c r="I59" s="27" t="n">
        <f aca="false">IF(N(K58)&lt;=0.005,0,N(K58)*(1+N('Min gæld'!$D$6)/12))</f>
        <v>0</v>
      </c>
      <c r="J59" s="27" t="n">
        <f aca="false">IF(I59&lt;=0,0,MIN(I59,N('Min gæld'!$E$6)+H59))</f>
        <v>0</v>
      </c>
      <c r="K59" s="27" t="n">
        <f aca="false">IF(I59-J59&lt;0.005,0,I59-J59)</f>
        <v>0</v>
      </c>
      <c r="L59" s="27" t="n">
        <f aca="false">MAX(0,IF(N(K58)&lt;=0.005,H59,H59+N('Min gæld'!$E$6)-J59))</f>
        <v>4800</v>
      </c>
      <c r="M59" s="27" t="n">
        <f aca="false">IF(N(O58)&lt;=0.005,0,N(O58)*(1+N('Min gæld'!$D$7)/12))</f>
        <v>0</v>
      </c>
      <c r="N59" s="27" t="n">
        <f aca="false">IF(M59&lt;=0,0,MIN(M59,N('Min gæld'!$E$7)+L59))</f>
        <v>0</v>
      </c>
      <c r="O59" s="27" t="n">
        <f aca="false">IF(M59-N59&lt;0.005,0,M59-N59)</f>
        <v>0</v>
      </c>
      <c r="P59" s="27" t="n">
        <f aca="false">MAX(0,IF(N(O58)&lt;=0.005,L59,L59+N('Min gæld'!$E$7)-N59))</f>
        <v>4800</v>
      </c>
      <c r="Q59" s="27" t="n">
        <f aca="false">IF(N(S58)&lt;=0.005,0,N(S58)*(1+N('Min gæld'!$D$8)/12))</f>
        <v>0</v>
      </c>
      <c r="R59" s="27" t="n">
        <f aca="false">IF(Q59&lt;=0,0,MIN(Q59,N('Min gæld'!$E$8)+P59))</f>
        <v>0</v>
      </c>
      <c r="S59" s="27" t="n">
        <f aca="false">IF(Q59-R59&lt;0.005,0,Q59-R59)</f>
        <v>0</v>
      </c>
      <c r="T59" s="27" t="n">
        <f aca="false">MAX(0,IF(N(S58)&lt;=0.005,P59,P59+N('Min gæld'!$E$8)-R59))</f>
        <v>4800</v>
      </c>
      <c r="U59" s="27" t="n">
        <f aca="false">IF(N(W58)&lt;=0.005,0,N(W58)*(1+N('Min gæld'!$D$9)/12))</f>
        <v>0</v>
      </c>
      <c r="V59" s="27" t="n">
        <f aca="false">IF(U59&lt;=0,0,MIN(U59,N('Min gæld'!$E$9)+T59))</f>
        <v>0</v>
      </c>
      <c r="W59" s="27" t="n">
        <f aca="false">IF(U59-V59&lt;0.005,0,U59-V59)</f>
        <v>0</v>
      </c>
      <c r="X59" s="27" t="n">
        <f aca="false">MAX(0,IF(N(W58)&lt;=0.005,T59,T59+N('Min gæld'!$E$9)-V59))</f>
        <v>4800</v>
      </c>
      <c r="Y59" s="27" t="n">
        <f aca="false">IF(N(AA58)&lt;=0.005,0,N(AA58)*(1+N('Min gæld'!$D$10)/12))</f>
        <v>0</v>
      </c>
      <c r="Z59" s="27" t="n">
        <f aca="false">IF(Y59&lt;=0,0,MIN(Y59,N('Min gæld'!$E$10)+X59))</f>
        <v>0</v>
      </c>
      <c r="AA59" s="27" t="n">
        <f aca="false">IF(Y59-Z59&lt;0.005,0,Y59-Z59)</f>
        <v>0</v>
      </c>
      <c r="AB59" s="27" t="n">
        <f aca="false">MAX(0,IF(N(AA58)&lt;=0.005,X59,X59+N('Min gæld'!$E$10)-Z59))</f>
        <v>4800</v>
      </c>
      <c r="AC59" s="27" t="n">
        <f aca="false">IF(N(AE58)&lt;=0.005,0,N(AE58)*(1+N('Min gæld'!$D$11)/12))</f>
        <v>0</v>
      </c>
      <c r="AD59" s="27" t="n">
        <f aca="false">IF(AC59&lt;=0,0,MIN(AC59,N('Min gæld'!$E$11)+AB59))</f>
        <v>0</v>
      </c>
      <c r="AE59" s="27" t="n">
        <f aca="false">IF(AC59-AD59&lt;0.005,0,AC59-AD59)</f>
        <v>0</v>
      </c>
      <c r="AF59" s="27" t="n">
        <f aca="false">MAX(0,IF(N(AE58)&lt;=0.005,AB59,AB59+N('Min gæld'!$E$11)-AD59))</f>
        <v>4800</v>
      </c>
      <c r="AG59" s="27" t="n">
        <f aca="false">IF(N(AI58)&lt;=0.005,0,N(AI58)*(1+N('Min gæld'!$D$12)/12))</f>
        <v>0</v>
      </c>
      <c r="AH59" s="27" t="n">
        <f aca="false">IF(AG59&lt;=0,0,MIN(AG59,N('Min gæld'!$E$12)+AF59))</f>
        <v>0</v>
      </c>
      <c r="AI59" s="27" t="n">
        <f aca="false">IF(AG59-AH59&lt;0.005,0,AG59-AH59)</f>
        <v>0</v>
      </c>
      <c r="AJ59" s="27" t="n">
        <f aca="false">G59+K59+O59+S59+W59+AA59+AE59+AI59</f>
        <v>0</v>
      </c>
      <c r="AK59" s="28" t="n">
        <f aca="false">IF(E59&gt;0,E59-N(G58),0)+IF(I59&gt;0,I59-N(K58),0)+IF(M59&gt;0,M59-N(O58),0)+IF(Q59&gt;0,Q59-N(S58),0)+IF(U59&gt;0,U59-N(W58),0)+IF(Y59&gt;0,Y59-N(AA58),0)+IF(AC59&gt;0,AC59-N(AE58),0)+IF(AG59&gt;0,AG59-N(AI58),0)</f>
        <v>0</v>
      </c>
    </row>
    <row r="60" customFormat="false" ht="15" hidden="false" customHeight="false" outlineLevel="0" collapsed="false">
      <c r="A60" s="25" t="n">
        <v>55</v>
      </c>
      <c r="B60" s="26" t="n">
        <f aca="false">EDATE('Min gæld'!$C$16,54)</f>
        <v>48030</v>
      </c>
      <c r="C60" s="27" t="n">
        <f aca="false">N('Min gæld'!$C$15)+IF(N(G59)&lt;=0.005,N('Min gæld'!$E$5),0)+IF(N(K59)&lt;=0.005,N('Min gæld'!$E$6),0)+IF(N(O59)&lt;=0.005,N('Min gæld'!$E$7),0)+IF(N(S59)&lt;=0.005,N('Min gæld'!$E$8),0)+IF(N(W59)&lt;=0.005,N('Min gæld'!$E$9),0)+IF(N(AA59)&lt;=0.005,N('Min gæld'!$E$10),0)+IF(N(AE59)&lt;=0.005,N('Min gæld'!$E$11),0)+IF(N(AI59)&lt;=0.005,N('Min gæld'!$E$12),0)</f>
        <v>4800</v>
      </c>
      <c r="D60" s="27" t="n">
        <f aca="false">MAX(0,C60)</f>
        <v>4800</v>
      </c>
      <c r="E60" s="27" t="n">
        <f aca="false">IF(N(G59)&lt;=0.005,0,N(G59)*(1+N('Min gæld'!$D$5)/12))</f>
        <v>0</v>
      </c>
      <c r="F60" s="27" t="n">
        <f aca="false">IF(E60&lt;=0,0,MIN(E60,N('Min gæld'!$E$5)+D60))</f>
        <v>0</v>
      </c>
      <c r="G60" s="27" t="n">
        <f aca="false">IF(E60-F60&lt;0.005,0,E60-F60)</f>
        <v>0</v>
      </c>
      <c r="H60" s="27" t="n">
        <f aca="false">MAX(0,IF(N(G59)&lt;=0.005,D60,D60+N('Min gæld'!$E$5)-F60))</f>
        <v>4800</v>
      </c>
      <c r="I60" s="27" t="n">
        <f aca="false">IF(N(K59)&lt;=0.005,0,N(K59)*(1+N('Min gæld'!$D$6)/12))</f>
        <v>0</v>
      </c>
      <c r="J60" s="27" t="n">
        <f aca="false">IF(I60&lt;=0,0,MIN(I60,N('Min gæld'!$E$6)+H60))</f>
        <v>0</v>
      </c>
      <c r="K60" s="27" t="n">
        <f aca="false">IF(I60-J60&lt;0.005,0,I60-J60)</f>
        <v>0</v>
      </c>
      <c r="L60" s="27" t="n">
        <f aca="false">MAX(0,IF(N(K59)&lt;=0.005,H60,H60+N('Min gæld'!$E$6)-J60))</f>
        <v>4800</v>
      </c>
      <c r="M60" s="27" t="n">
        <f aca="false">IF(N(O59)&lt;=0.005,0,N(O59)*(1+N('Min gæld'!$D$7)/12))</f>
        <v>0</v>
      </c>
      <c r="N60" s="27" t="n">
        <f aca="false">IF(M60&lt;=0,0,MIN(M60,N('Min gæld'!$E$7)+L60))</f>
        <v>0</v>
      </c>
      <c r="O60" s="27" t="n">
        <f aca="false">IF(M60-N60&lt;0.005,0,M60-N60)</f>
        <v>0</v>
      </c>
      <c r="P60" s="27" t="n">
        <f aca="false">MAX(0,IF(N(O59)&lt;=0.005,L60,L60+N('Min gæld'!$E$7)-N60))</f>
        <v>4800</v>
      </c>
      <c r="Q60" s="27" t="n">
        <f aca="false">IF(N(S59)&lt;=0.005,0,N(S59)*(1+N('Min gæld'!$D$8)/12))</f>
        <v>0</v>
      </c>
      <c r="R60" s="27" t="n">
        <f aca="false">IF(Q60&lt;=0,0,MIN(Q60,N('Min gæld'!$E$8)+P60))</f>
        <v>0</v>
      </c>
      <c r="S60" s="27" t="n">
        <f aca="false">IF(Q60-R60&lt;0.005,0,Q60-R60)</f>
        <v>0</v>
      </c>
      <c r="T60" s="27" t="n">
        <f aca="false">MAX(0,IF(N(S59)&lt;=0.005,P60,P60+N('Min gæld'!$E$8)-R60))</f>
        <v>4800</v>
      </c>
      <c r="U60" s="27" t="n">
        <f aca="false">IF(N(W59)&lt;=0.005,0,N(W59)*(1+N('Min gæld'!$D$9)/12))</f>
        <v>0</v>
      </c>
      <c r="V60" s="27" t="n">
        <f aca="false">IF(U60&lt;=0,0,MIN(U60,N('Min gæld'!$E$9)+T60))</f>
        <v>0</v>
      </c>
      <c r="W60" s="27" t="n">
        <f aca="false">IF(U60-V60&lt;0.005,0,U60-V60)</f>
        <v>0</v>
      </c>
      <c r="X60" s="27" t="n">
        <f aca="false">MAX(0,IF(N(W59)&lt;=0.005,T60,T60+N('Min gæld'!$E$9)-V60))</f>
        <v>4800</v>
      </c>
      <c r="Y60" s="27" t="n">
        <f aca="false">IF(N(AA59)&lt;=0.005,0,N(AA59)*(1+N('Min gæld'!$D$10)/12))</f>
        <v>0</v>
      </c>
      <c r="Z60" s="27" t="n">
        <f aca="false">IF(Y60&lt;=0,0,MIN(Y60,N('Min gæld'!$E$10)+X60))</f>
        <v>0</v>
      </c>
      <c r="AA60" s="27" t="n">
        <f aca="false">IF(Y60-Z60&lt;0.005,0,Y60-Z60)</f>
        <v>0</v>
      </c>
      <c r="AB60" s="27" t="n">
        <f aca="false">MAX(0,IF(N(AA59)&lt;=0.005,X60,X60+N('Min gæld'!$E$10)-Z60))</f>
        <v>4800</v>
      </c>
      <c r="AC60" s="27" t="n">
        <f aca="false">IF(N(AE59)&lt;=0.005,0,N(AE59)*(1+N('Min gæld'!$D$11)/12))</f>
        <v>0</v>
      </c>
      <c r="AD60" s="27" t="n">
        <f aca="false">IF(AC60&lt;=0,0,MIN(AC60,N('Min gæld'!$E$11)+AB60))</f>
        <v>0</v>
      </c>
      <c r="AE60" s="27" t="n">
        <f aca="false">IF(AC60-AD60&lt;0.005,0,AC60-AD60)</f>
        <v>0</v>
      </c>
      <c r="AF60" s="27" t="n">
        <f aca="false">MAX(0,IF(N(AE59)&lt;=0.005,AB60,AB60+N('Min gæld'!$E$11)-AD60))</f>
        <v>4800</v>
      </c>
      <c r="AG60" s="27" t="n">
        <f aca="false">IF(N(AI59)&lt;=0.005,0,N(AI59)*(1+N('Min gæld'!$D$12)/12))</f>
        <v>0</v>
      </c>
      <c r="AH60" s="27" t="n">
        <f aca="false">IF(AG60&lt;=0,0,MIN(AG60,N('Min gæld'!$E$12)+AF60))</f>
        <v>0</v>
      </c>
      <c r="AI60" s="27" t="n">
        <f aca="false">IF(AG60-AH60&lt;0.005,0,AG60-AH60)</f>
        <v>0</v>
      </c>
      <c r="AJ60" s="27" t="n">
        <f aca="false">G60+K60+O60+S60+W60+AA60+AE60+AI60</f>
        <v>0</v>
      </c>
      <c r="AK60" s="28" t="n">
        <f aca="false">IF(E60&gt;0,E60-N(G59),0)+IF(I60&gt;0,I60-N(K59),0)+IF(M60&gt;0,M60-N(O59),0)+IF(Q60&gt;0,Q60-N(S59),0)+IF(U60&gt;0,U60-N(W59),0)+IF(Y60&gt;0,Y60-N(AA59),0)+IF(AC60&gt;0,AC60-N(AE59),0)+IF(AG60&gt;0,AG60-N(AI59),0)</f>
        <v>0</v>
      </c>
    </row>
    <row r="61" customFormat="false" ht="15" hidden="false" customHeight="false" outlineLevel="0" collapsed="false">
      <c r="A61" s="25" t="n">
        <v>56</v>
      </c>
      <c r="B61" s="26" t="n">
        <f aca="false">EDATE('Min gæld'!$C$16,55)</f>
        <v>48061</v>
      </c>
      <c r="C61" s="27" t="n">
        <f aca="false">N('Min gæld'!$C$15)+IF(N(G60)&lt;=0.005,N('Min gæld'!$E$5),0)+IF(N(K60)&lt;=0.005,N('Min gæld'!$E$6),0)+IF(N(O60)&lt;=0.005,N('Min gæld'!$E$7),0)+IF(N(S60)&lt;=0.005,N('Min gæld'!$E$8),0)+IF(N(W60)&lt;=0.005,N('Min gæld'!$E$9),0)+IF(N(AA60)&lt;=0.005,N('Min gæld'!$E$10),0)+IF(N(AE60)&lt;=0.005,N('Min gæld'!$E$11),0)+IF(N(AI60)&lt;=0.005,N('Min gæld'!$E$12),0)</f>
        <v>4800</v>
      </c>
      <c r="D61" s="27" t="n">
        <f aca="false">MAX(0,C61)</f>
        <v>4800</v>
      </c>
      <c r="E61" s="27" t="n">
        <f aca="false">IF(N(G60)&lt;=0.005,0,N(G60)*(1+N('Min gæld'!$D$5)/12))</f>
        <v>0</v>
      </c>
      <c r="F61" s="27" t="n">
        <f aca="false">IF(E61&lt;=0,0,MIN(E61,N('Min gæld'!$E$5)+D61))</f>
        <v>0</v>
      </c>
      <c r="G61" s="27" t="n">
        <f aca="false">IF(E61-F61&lt;0.005,0,E61-F61)</f>
        <v>0</v>
      </c>
      <c r="H61" s="27" t="n">
        <f aca="false">MAX(0,IF(N(G60)&lt;=0.005,D61,D61+N('Min gæld'!$E$5)-F61))</f>
        <v>4800</v>
      </c>
      <c r="I61" s="27" t="n">
        <f aca="false">IF(N(K60)&lt;=0.005,0,N(K60)*(1+N('Min gæld'!$D$6)/12))</f>
        <v>0</v>
      </c>
      <c r="J61" s="27" t="n">
        <f aca="false">IF(I61&lt;=0,0,MIN(I61,N('Min gæld'!$E$6)+H61))</f>
        <v>0</v>
      </c>
      <c r="K61" s="27" t="n">
        <f aca="false">IF(I61-J61&lt;0.005,0,I61-J61)</f>
        <v>0</v>
      </c>
      <c r="L61" s="27" t="n">
        <f aca="false">MAX(0,IF(N(K60)&lt;=0.005,H61,H61+N('Min gæld'!$E$6)-J61))</f>
        <v>4800</v>
      </c>
      <c r="M61" s="27" t="n">
        <f aca="false">IF(N(O60)&lt;=0.005,0,N(O60)*(1+N('Min gæld'!$D$7)/12))</f>
        <v>0</v>
      </c>
      <c r="N61" s="27" t="n">
        <f aca="false">IF(M61&lt;=0,0,MIN(M61,N('Min gæld'!$E$7)+L61))</f>
        <v>0</v>
      </c>
      <c r="O61" s="27" t="n">
        <f aca="false">IF(M61-N61&lt;0.005,0,M61-N61)</f>
        <v>0</v>
      </c>
      <c r="P61" s="27" t="n">
        <f aca="false">MAX(0,IF(N(O60)&lt;=0.005,L61,L61+N('Min gæld'!$E$7)-N61))</f>
        <v>4800</v>
      </c>
      <c r="Q61" s="27" t="n">
        <f aca="false">IF(N(S60)&lt;=0.005,0,N(S60)*(1+N('Min gæld'!$D$8)/12))</f>
        <v>0</v>
      </c>
      <c r="R61" s="27" t="n">
        <f aca="false">IF(Q61&lt;=0,0,MIN(Q61,N('Min gæld'!$E$8)+P61))</f>
        <v>0</v>
      </c>
      <c r="S61" s="27" t="n">
        <f aca="false">IF(Q61-R61&lt;0.005,0,Q61-R61)</f>
        <v>0</v>
      </c>
      <c r="T61" s="27" t="n">
        <f aca="false">MAX(0,IF(N(S60)&lt;=0.005,P61,P61+N('Min gæld'!$E$8)-R61))</f>
        <v>4800</v>
      </c>
      <c r="U61" s="27" t="n">
        <f aca="false">IF(N(W60)&lt;=0.005,0,N(W60)*(1+N('Min gæld'!$D$9)/12))</f>
        <v>0</v>
      </c>
      <c r="V61" s="27" t="n">
        <f aca="false">IF(U61&lt;=0,0,MIN(U61,N('Min gæld'!$E$9)+T61))</f>
        <v>0</v>
      </c>
      <c r="W61" s="27" t="n">
        <f aca="false">IF(U61-V61&lt;0.005,0,U61-V61)</f>
        <v>0</v>
      </c>
      <c r="X61" s="27" t="n">
        <f aca="false">MAX(0,IF(N(W60)&lt;=0.005,T61,T61+N('Min gæld'!$E$9)-V61))</f>
        <v>4800</v>
      </c>
      <c r="Y61" s="27" t="n">
        <f aca="false">IF(N(AA60)&lt;=0.005,0,N(AA60)*(1+N('Min gæld'!$D$10)/12))</f>
        <v>0</v>
      </c>
      <c r="Z61" s="27" t="n">
        <f aca="false">IF(Y61&lt;=0,0,MIN(Y61,N('Min gæld'!$E$10)+X61))</f>
        <v>0</v>
      </c>
      <c r="AA61" s="27" t="n">
        <f aca="false">IF(Y61-Z61&lt;0.005,0,Y61-Z61)</f>
        <v>0</v>
      </c>
      <c r="AB61" s="27" t="n">
        <f aca="false">MAX(0,IF(N(AA60)&lt;=0.005,X61,X61+N('Min gæld'!$E$10)-Z61))</f>
        <v>4800</v>
      </c>
      <c r="AC61" s="27" t="n">
        <f aca="false">IF(N(AE60)&lt;=0.005,0,N(AE60)*(1+N('Min gæld'!$D$11)/12))</f>
        <v>0</v>
      </c>
      <c r="AD61" s="27" t="n">
        <f aca="false">IF(AC61&lt;=0,0,MIN(AC61,N('Min gæld'!$E$11)+AB61))</f>
        <v>0</v>
      </c>
      <c r="AE61" s="27" t="n">
        <f aca="false">IF(AC61-AD61&lt;0.005,0,AC61-AD61)</f>
        <v>0</v>
      </c>
      <c r="AF61" s="27" t="n">
        <f aca="false">MAX(0,IF(N(AE60)&lt;=0.005,AB61,AB61+N('Min gæld'!$E$11)-AD61))</f>
        <v>4800</v>
      </c>
      <c r="AG61" s="27" t="n">
        <f aca="false">IF(N(AI60)&lt;=0.005,0,N(AI60)*(1+N('Min gæld'!$D$12)/12))</f>
        <v>0</v>
      </c>
      <c r="AH61" s="27" t="n">
        <f aca="false">IF(AG61&lt;=0,0,MIN(AG61,N('Min gæld'!$E$12)+AF61))</f>
        <v>0</v>
      </c>
      <c r="AI61" s="27" t="n">
        <f aca="false">IF(AG61-AH61&lt;0.005,0,AG61-AH61)</f>
        <v>0</v>
      </c>
      <c r="AJ61" s="27" t="n">
        <f aca="false">G61+K61+O61+S61+W61+AA61+AE61+AI61</f>
        <v>0</v>
      </c>
      <c r="AK61" s="28" t="n">
        <f aca="false">IF(E61&gt;0,E61-N(G60),0)+IF(I61&gt;0,I61-N(K60),0)+IF(M61&gt;0,M61-N(O60),0)+IF(Q61&gt;0,Q61-N(S60),0)+IF(U61&gt;0,U61-N(W60),0)+IF(Y61&gt;0,Y61-N(AA60),0)+IF(AC61&gt;0,AC61-N(AE60),0)+IF(AG61&gt;0,AG61-N(AI60),0)</f>
        <v>0</v>
      </c>
    </row>
    <row r="62" customFormat="false" ht="15" hidden="false" customHeight="false" outlineLevel="0" collapsed="false">
      <c r="A62" s="25" t="n">
        <v>57</v>
      </c>
      <c r="B62" s="26" t="n">
        <f aca="false">EDATE('Min gæld'!$C$16,56)</f>
        <v>48092</v>
      </c>
      <c r="C62" s="27" t="n">
        <f aca="false">N('Min gæld'!$C$15)+IF(N(G61)&lt;=0.005,N('Min gæld'!$E$5),0)+IF(N(K61)&lt;=0.005,N('Min gæld'!$E$6),0)+IF(N(O61)&lt;=0.005,N('Min gæld'!$E$7),0)+IF(N(S61)&lt;=0.005,N('Min gæld'!$E$8),0)+IF(N(W61)&lt;=0.005,N('Min gæld'!$E$9),0)+IF(N(AA61)&lt;=0.005,N('Min gæld'!$E$10),0)+IF(N(AE61)&lt;=0.005,N('Min gæld'!$E$11),0)+IF(N(AI61)&lt;=0.005,N('Min gæld'!$E$12),0)</f>
        <v>4800</v>
      </c>
      <c r="D62" s="27" t="n">
        <f aca="false">MAX(0,C62)</f>
        <v>4800</v>
      </c>
      <c r="E62" s="27" t="n">
        <f aca="false">IF(N(G61)&lt;=0.005,0,N(G61)*(1+N('Min gæld'!$D$5)/12))</f>
        <v>0</v>
      </c>
      <c r="F62" s="27" t="n">
        <f aca="false">IF(E62&lt;=0,0,MIN(E62,N('Min gæld'!$E$5)+D62))</f>
        <v>0</v>
      </c>
      <c r="G62" s="27" t="n">
        <f aca="false">IF(E62-F62&lt;0.005,0,E62-F62)</f>
        <v>0</v>
      </c>
      <c r="H62" s="27" t="n">
        <f aca="false">MAX(0,IF(N(G61)&lt;=0.005,D62,D62+N('Min gæld'!$E$5)-F62))</f>
        <v>4800</v>
      </c>
      <c r="I62" s="27" t="n">
        <f aca="false">IF(N(K61)&lt;=0.005,0,N(K61)*(1+N('Min gæld'!$D$6)/12))</f>
        <v>0</v>
      </c>
      <c r="J62" s="27" t="n">
        <f aca="false">IF(I62&lt;=0,0,MIN(I62,N('Min gæld'!$E$6)+H62))</f>
        <v>0</v>
      </c>
      <c r="K62" s="27" t="n">
        <f aca="false">IF(I62-J62&lt;0.005,0,I62-J62)</f>
        <v>0</v>
      </c>
      <c r="L62" s="27" t="n">
        <f aca="false">MAX(0,IF(N(K61)&lt;=0.005,H62,H62+N('Min gæld'!$E$6)-J62))</f>
        <v>4800</v>
      </c>
      <c r="M62" s="27" t="n">
        <f aca="false">IF(N(O61)&lt;=0.005,0,N(O61)*(1+N('Min gæld'!$D$7)/12))</f>
        <v>0</v>
      </c>
      <c r="N62" s="27" t="n">
        <f aca="false">IF(M62&lt;=0,0,MIN(M62,N('Min gæld'!$E$7)+L62))</f>
        <v>0</v>
      </c>
      <c r="O62" s="27" t="n">
        <f aca="false">IF(M62-N62&lt;0.005,0,M62-N62)</f>
        <v>0</v>
      </c>
      <c r="P62" s="27" t="n">
        <f aca="false">MAX(0,IF(N(O61)&lt;=0.005,L62,L62+N('Min gæld'!$E$7)-N62))</f>
        <v>4800</v>
      </c>
      <c r="Q62" s="27" t="n">
        <f aca="false">IF(N(S61)&lt;=0.005,0,N(S61)*(1+N('Min gæld'!$D$8)/12))</f>
        <v>0</v>
      </c>
      <c r="R62" s="27" t="n">
        <f aca="false">IF(Q62&lt;=0,0,MIN(Q62,N('Min gæld'!$E$8)+P62))</f>
        <v>0</v>
      </c>
      <c r="S62" s="27" t="n">
        <f aca="false">IF(Q62-R62&lt;0.005,0,Q62-R62)</f>
        <v>0</v>
      </c>
      <c r="T62" s="27" t="n">
        <f aca="false">MAX(0,IF(N(S61)&lt;=0.005,P62,P62+N('Min gæld'!$E$8)-R62))</f>
        <v>4800</v>
      </c>
      <c r="U62" s="27" t="n">
        <f aca="false">IF(N(W61)&lt;=0.005,0,N(W61)*(1+N('Min gæld'!$D$9)/12))</f>
        <v>0</v>
      </c>
      <c r="V62" s="27" t="n">
        <f aca="false">IF(U62&lt;=0,0,MIN(U62,N('Min gæld'!$E$9)+T62))</f>
        <v>0</v>
      </c>
      <c r="W62" s="27" t="n">
        <f aca="false">IF(U62-V62&lt;0.005,0,U62-V62)</f>
        <v>0</v>
      </c>
      <c r="X62" s="27" t="n">
        <f aca="false">MAX(0,IF(N(W61)&lt;=0.005,T62,T62+N('Min gæld'!$E$9)-V62))</f>
        <v>4800</v>
      </c>
      <c r="Y62" s="27" t="n">
        <f aca="false">IF(N(AA61)&lt;=0.005,0,N(AA61)*(1+N('Min gæld'!$D$10)/12))</f>
        <v>0</v>
      </c>
      <c r="Z62" s="27" t="n">
        <f aca="false">IF(Y62&lt;=0,0,MIN(Y62,N('Min gæld'!$E$10)+X62))</f>
        <v>0</v>
      </c>
      <c r="AA62" s="27" t="n">
        <f aca="false">IF(Y62-Z62&lt;0.005,0,Y62-Z62)</f>
        <v>0</v>
      </c>
      <c r="AB62" s="27" t="n">
        <f aca="false">MAX(0,IF(N(AA61)&lt;=0.005,X62,X62+N('Min gæld'!$E$10)-Z62))</f>
        <v>4800</v>
      </c>
      <c r="AC62" s="27" t="n">
        <f aca="false">IF(N(AE61)&lt;=0.005,0,N(AE61)*(1+N('Min gæld'!$D$11)/12))</f>
        <v>0</v>
      </c>
      <c r="AD62" s="27" t="n">
        <f aca="false">IF(AC62&lt;=0,0,MIN(AC62,N('Min gæld'!$E$11)+AB62))</f>
        <v>0</v>
      </c>
      <c r="AE62" s="27" t="n">
        <f aca="false">IF(AC62-AD62&lt;0.005,0,AC62-AD62)</f>
        <v>0</v>
      </c>
      <c r="AF62" s="27" t="n">
        <f aca="false">MAX(0,IF(N(AE61)&lt;=0.005,AB62,AB62+N('Min gæld'!$E$11)-AD62))</f>
        <v>4800</v>
      </c>
      <c r="AG62" s="27" t="n">
        <f aca="false">IF(N(AI61)&lt;=0.005,0,N(AI61)*(1+N('Min gæld'!$D$12)/12))</f>
        <v>0</v>
      </c>
      <c r="AH62" s="27" t="n">
        <f aca="false">IF(AG62&lt;=0,0,MIN(AG62,N('Min gæld'!$E$12)+AF62))</f>
        <v>0</v>
      </c>
      <c r="AI62" s="27" t="n">
        <f aca="false">IF(AG62-AH62&lt;0.005,0,AG62-AH62)</f>
        <v>0</v>
      </c>
      <c r="AJ62" s="27" t="n">
        <f aca="false">G62+K62+O62+S62+W62+AA62+AE62+AI62</f>
        <v>0</v>
      </c>
      <c r="AK62" s="28" t="n">
        <f aca="false">IF(E62&gt;0,E62-N(G61),0)+IF(I62&gt;0,I62-N(K61),0)+IF(M62&gt;0,M62-N(O61),0)+IF(Q62&gt;0,Q62-N(S61),0)+IF(U62&gt;0,U62-N(W61),0)+IF(Y62&gt;0,Y62-N(AA61),0)+IF(AC62&gt;0,AC62-N(AE61),0)+IF(AG62&gt;0,AG62-N(AI61),0)</f>
        <v>0</v>
      </c>
    </row>
    <row r="63" customFormat="false" ht="15" hidden="false" customHeight="false" outlineLevel="0" collapsed="false">
      <c r="A63" s="25" t="n">
        <v>58</v>
      </c>
      <c r="B63" s="26" t="n">
        <f aca="false">EDATE('Min gæld'!$C$16,57)</f>
        <v>48122</v>
      </c>
      <c r="C63" s="27" t="n">
        <f aca="false">N('Min gæld'!$C$15)+IF(N(G62)&lt;=0.005,N('Min gæld'!$E$5),0)+IF(N(K62)&lt;=0.005,N('Min gæld'!$E$6),0)+IF(N(O62)&lt;=0.005,N('Min gæld'!$E$7),0)+IF(N(S62)&lt;=0.005,N('Min gæld'!$E$8),0)+IF(N(W62)&lt;=0.005,N('Min gæld'!$E$9),0)+IF(N(AA62)&lt;=0.005,N('Min gæld'!$E$10),0)+IF(N(AE62)&lt;=0.005,N('Min gæld'!$E$11),0)+IF(N(AI62)&lt;=0.005,N('Min gæld'!$E$12),0)</f>
        <v>4800</v>
      </c>
      <c r="D63" s="27" t="n">
        <f aca="false">MAX(0,C63)</f>
        <v>4800</v>
      </c>
      <c r="E63" s="27" t="n">
        <f aca="false">IF(N(G62)&lt;=0.005,0,N(G62)*(1+N('Min gæld'!$D$5)/12))</f>
        <v>0</v>
      </c>
      <c r="F63" s="27" t="n">
        <f aca="false">IF(E63&lt;=0,0,MIN(E63,N('Min gæld'!$E$5)+D63))</f>
        <v>0</v>
      </c>
      <c r="G63" s="27" t="n">
        <f aca="false">IF(E63-F63&lt;0.005,0,E63-F63)</f>
        <v>0</v>
      </c>
      <c r="H63" s="27" t="n">
        <f aca="false">MAX(0,IF(N(G62)&lt;=0.005,D63,D63+N('Min gæld'!$E$5)-F63))</f>
        <v>4800</v>
      </c>
      <c r="I63" s="27" t="n">
        <f aca="false">IF(N(K62)&lt;=0.005,0,N(K62)*(1+N('Min gæld'!$D$6)/12))</f>
        <v>0</v>
      </c>
      <c r="J63" s="27" t="n">
        <f aca="false">IF(I63&lt;=0,0,MIN(I63,N('Min gæld'!$E$6)+H63))</f>
        <v>0</v>
      </c>
      <c r="K63" s="27" t="n">
        <f aca="false">IF(I63-J63&lt;0.005,0,I63-J63)</f>
        <v>0</v>
      </c>
      <c r="L63" s="27" t="n">
        <f aca="false">MAX(0,IF(N(K62)&lt;=0.005,H63,H63+N('Min gæld'!$E$6)-J63))</f>
        <v>4800</v>
      </c>
      <c r="M63" s="27" t="n">
        <f aca="false">IF(N(O62)&lt;=0.005,0,N(O62)*(1+N('Min gæld'!$D$7)/12))</f>
        <v>0</v>
      </c>
      <c r="N63" s="27" t="n">
        <f aca="false">IF(M63&lt;=0,0,MIN(M63,N('Min gæld'!$E$7)+L63))</f>
        <v>0</v>
      </c>
      <c r="O63" s="27" t="n">
        <f aca="false">IF(M63-N63&lt;0.005,0,M63-N63)</f>
        <v>0</v>
      </c>
      <c r="P63" s="27" t="n">
        <f aca="false">MAX(0,IF(N(O62)&lt;=0.005,L63,L63+N('Min gæld'!$E$7)-N63))</f>
        <v>4800</v>
      </c>
      <c r="Q63" s="27" t="n">
        <f aca="false">IF(N(S62)&lt;=0.005,0,N(S62)*(1+N('Min gæld'!$D$8)/12))</f>
        <v>0</v>
      </c>
      <c r="R63" s="27" t="n">
        <f aca="false">IF(Q63&lt;=0,0,MIN(Q63,N('Min gæld'!$E$8)+P63))</f>
        <v>0</v>
      </c>
      <c r="S63" s="27" t="n">
        <f aca="false">IF(Q63-R63&lt;0.005,0,Q63-R63)</f>
        <v>0</v>
      </c>
      <c r="T63" s="27" t="n">
        <f aca="false">MAX(0,IF(N(S62)&lt;=0.005,P63,P63+N('Min gæld'!$E$8)-R63))</f>
        <v>4800</v>
      </c>
      <c r="U63" s="27" t="n">
        <f aca="false">IF(N(W62)&lt;=0.005,0,N(W62)*(1+N('Min gæld'!$D$9)/12))</f>
        <v>0</v>
      </c>
      <c r="V63" s="27" t="n">
        <f aca="false">IF(U63&lt;=0,0,MIN(U63,N('Min gæld'!$E$9)+T63))</f>
        <v>0</v>
      </c>
      <c r="W63" s="27" t="n">
        <f aca="false">IF(U63-V63&lt;0.005,0,U63-V63)</f>
        <v>0</v>
      </c>
      <c r="X63" s="27" t="n">
        <f aca="false">MAX(0,IF(N(W62)&lt;=0.005,T63,T63+N('Min gæld'!$E$9)-V63))</f>
        <v>4800</v>
      </c>
      <c r="Y63" s="27" t="n">
        <f aca="false">IF(N(AA62)&lt;=0.005,0,N(AA62)*(1+N('Min gæld'!$D$10)/12))</f>
        <v>0</v>
      </c>
      <c r="Z63" s="27" t="n">
        <f aca="false">IF(Y63&lt;=0,0,MIN(Y63,N('Min gæld'!$E$10)+X63))</f>
        <v>0</v>
      </c>
      <c r="AA63" s="27" t="n">
        <f aca="false">IF(Y63-Z63&lt;0.005,0,Y63-Z63)</f>
        <v>0</v>
      </c>
      <c r="AB63" s="27" t="n">
        <f aca="false">MAX(0,IF(N(AA62)&lt;=0.005,X63,X63+N('Min gæld'!$E$10)-Z63))</f>
        <v>4800</v>
      </c>
      <c r="AC63" s="27" t="n">
        <f aca="false">IF(N(AE62)&lt;=0.005,0,N(AE62)*(1+N('Min gæld'!$D$11)/12))</f>
        <v>0</v>
      </c>
      <c r="AD63" s="27" t="n">
        <f aca="false">IF(AC63&lt;=0,0,MIN(AC63,N('Min gæld'!$E$11)+AB63))</f>
        <v>0</v>
      </c>
      <c r="AE63" s="27" t="n">
        <f aca="false">IF(AC63-AD63&lt;0.005,0,AC63-AD63)</f>
        <v>0</v>
      </c>
      <c r="AF63" s="27" t="n">
        <f aca="false">MAX(0,IF(N(AE62)&lt;=0.005,AB63,AB63+N('Min gæld'!$E$11)-AD63))</f>
        <v>4800</v>
      </c>
      <c r="AG63" s="27" t="n">
        <f aca="false">IF(N(AI62)&lt;=0.005,0,N(AI62)*(1+N('Min gæld'!$D$12)/12))</f>
        <v>0</v>
      </c>
      <c r="AH63" s="27" t="n">
        <f aca="false">IF(AG63&lt;=0,0,MIN(AG63,N('Min gæld'!$E$12)+AF63))</f>
        <v>0</v>
      </c>
      <c r="AI63" s="27" t="n">
        <f aca="false">IF(AG63-AH63&lt;0.005,0,AG63-AH63)</f>
        <v>0</v>
      </c>
      <c r="AJ63" s="27" t="n">
        <f aca="false">G63+K63+O63+S63+W63+AA63+AE63+AI63</f>
        <v>0</v>
      </c>
      <c r="AK63" s="28" t="n">
        <f aca="false">IF(E63&gt;0,E63-N(G62),0)+IF(I63&gt;0,I63-N(K62),0)+IF(M63&gt;0,M63-N(O62),0)+IF(Q63&gt;0,Q63-N(S62),0)+IF(U63&gt;0,U63-N(W62),0)+IF(Y63&gt;0,Y63-N(AA62),0)+IF(AC63&gt;0,AC63-N(AE62),0)+IF(AG63&gt;0,AG63-N(AI62),0)</f>
        <v>0</v>
      </c>
    </row>
    <row r="64" customFormat="false" ht="15" hidden="false" customHeight="false" outlineLevel="0" collapsed="false">
      <c r="A64" s="25" t="n">
        <v>59</v>
      </c>
      <c r="B64" s="26" t="n">
        <f aca="false">EDATE('Min gæld'!$C$16,58)</f>
        <v>48153</v>
      </c>
      <c r="C64" s="27" t="n">
        <f aca="false">N('Min gæld'!$C$15)+IF(N(G63)&lt;=0.005,N('Min gæld'!$E$5),0)+IF(N(K63)&lt;=0.005,N('Min gæld'!$E$6),0)+IF(N(O63)&lt;=0.005,N('Min gæld'!$E$7),0)+IF(N(S63)&lt;=0.005,N('Min gæld'!$E$8),0)+IF(N(W63)&lt;=0.005,N('Min gæld'!$E$9),0)+IF(N(AA63)&lt;=0.005,N('Min gæld'!$E$10),0)+IF(N(AE63)&lt;=0.005,N('Min gæld'!$E$11),0)+IF(N(AI63)&lt;=0.005,N('Min gæld'!$E$12),0)</f>
        <v>4800</v>
      </c>
      <c r="D64" s="27" t="n">
        <f aca="false">MAX(0,C64)</f>
        <v>4800</v>
      </c>
      <c r="E64" s="27" t="n">
        <f aca="false">IF(N(G63)&lt;=0.005,0,N(G63)*(1+N('Min gæld'!$D$5)/12))</f>
        <v>0</v>
      </c>
      <c r="F64" s="27" t="n">
        <f aca="false">IF(E64&lt;=0,0,MIN(E64,N('Min gæld'!$E$5)+D64))</f>
        <v>0</v>
      </c>
      <c r="G64" s="27" t="n">
        <f aca="false">IF(E64-F64&lt;0.005,0,E64-F64)</f>
        <v>0</v>
      </c>
      <c r="H64" s="27" t="n">
        <f aca="false">MAX(0,IF(N(G63)&lt;=0.005,D64,D64+N('Min gæld'!$E$5)-F64))</f>
        <v>4800</v>
      </c>
      <c r="I64" s="27" t="n">
        <f aca="false">IF(N(K63)&lt;=0.005,0,N(K63)*(1+N('Min gæld'!$D$6)/12))</f>
        <v>0</v>
      </c>
      <c r="J64" s="27" t="n">
        <f aca="false">IF(I64&lt;=0,0,MIN(I64,N('Min gæld'!$E$6)+H64))</f>
        <v>0</v>
      </c>
      <c r="K64" s="27" t="n">
        <f aca="false">IF(I64-J64&lt;0.005,0,I64-J64)</f>
        <v>0</v>
      </c>
      <c r="L64" s="27" t="n">
        <f aca="false">MAX(0,IF(N(K63)&lt;=0.005,H64,H64+N('Min gæld'!$E$6)-J64))</f>
        <v>4800</v>
      </c>
      <c r="M64" s="27" t="n">
        <f aca="false">IF(N(O63)&lt;=0.005,0,N(O63)*(1+N('Min gæld'!$D$7)/12))</f>
        <v>0</v>
      </c>
      <c r="N64" s="27" t="n">
        <f aca="false">IF(M64&lt;=0,0,MIN(M64,N('Min gæld'!$E$7)+L64))</f>
        <v>0</v>
      </c>
      <c r="O64" s="27" t="n">
        <f aca="false">IF(M64-N64&lt;0.005,0,M64-N64)</f>
        <v>0</v>
      </c>
      <c r="P64" s="27" t="n">
        <f aca="false">MAX(0,IF(N(O63)&lt;=0.005,L64,L64+N('Min gæld'!$E$7)-N64))</f>
        <v>4800</v>
      </c>
      <c r="Q64" s="27" t="n">
        <f aca="false">IF(N(S63)&lt;=0.005,0,N(S63)*(1+N('Min gæld'!$D$8)/12))</f>
        <v>0</v>
      </c>
      <c r="R64" s="27" t="n">
        <f aca="false">IF(Q64&lt;=0,0,MIN(Q64,N('Min gæld'!$E$8)+P64))</f>
        <v>0</v>
      </c>
      <c r="S64" s="27" t="n">
        <f aca="false">IF(Q64-R64&lt;0.005,0,Q64-R64)</f>
        <v>0</v>
      </c>
      <c r="T64" s="27" t="n">
        <f aca="false">MAX(0,IF(N(S63)&lt;=0.005,P64,P64+N('Min gæld'!$E$8)-R64))</f>
        <v>4800</v>
      </c>
      <c r="U64" s="27" t="n">
        <f aca="false">IF(N(W63)&lt;=0.005,0,N(W63)*(1+N('Min gæld'!$D$9)/12))</f>
        <v>0</v>
      </c>
      <c r="V64" s="27" t="n">
        <f aca="false">IF(U64&lt;=0,0,MIN(U64,N('Min gæld'!$E$9)+T64))</f>
        <v>0</v>
      </c>
      <c r="W64" s="27" t="n">
        <f aca="false">IF(U64-V64&lt;0.005,0,U64-V64)</f>
        <v>0</v>
      </c>
      <c r="X64" s="27" t="n">
        <f aca="false">MAX(0,IF(N(W63)&lt;=0.005,T64,T64+N('Min gæld'!$E$9)-V64))</f>
        <v>4800</v>
      </c>
      <c r="Y64" s="27" t="n">
        <f aca="false">IF(N(AA63)&lt;=0.005,0,N(AA63)*(1+N('Min gæld'!$D$10)/12))</f>
        <v>0</v>
      </c>
      <c r="Z64" s="27" t="n">
        <f aca="false">IF(Y64&lt;=0,0,MIN(Y64,N('Min gæld'!$E$10)+X64))</f>
        <v>0</v>
      </c>
      <c r="AA64" s="27" t="n">
        <f aca="false">IF(Y64-Z64&lt;0.005,0,Y64-Z64)</f>
        <v>0</v>
      </c>
      <c r="AB64" s="27" t="n">
        <f aca="false">MAX(0,IF(N(AA63)&lt;=0.005,X64,X64+N('Min gæld'!$E$10)-Z64))</f>
        <v>4800</v>
      </c>
      <c r="AC64" s="27" t="n">
        <f aca="false">IF(N(AE63)&lt;=0.005,0,N(AE63)*(1+N('Min gæld'!$D$11)/12))</f>
        <v>0</v>
      </c>
      <c r="AD64" s="27" t="n">
        <f aca="false">IF(AC64&lt;=0,0,MIN(AC64,N('Min gæld'!$E$11)+AB64))</f>
        <v>0</v>
      </c>
      <c r="AE64" s="27" t="n">
        <f aca="false">IF(AC64-AD64&lt;0.005,0,AC64-AD64)</f>
        <v>0</v>
      </c>
      <c r="AF64" s="27" t="n">
        <f aca="false">MAX(0,IF(N(AE63)&lt;=0.005,AB64,AB64+N('Min gæld'!$E$11)-AD64))</f>
        <v>4800</v>
      </c>
      <c r="AG64" s="27" t="n">
        <f aca="false">IF(N(AI63)&lt;=0.005,0,N(AI63)*(1+N('Min gæld'!$D$12)/12))</f>
        <v>0</v>
      </c>
      <c r="AH64" s="27" t="n">
        <f aca="false">IF(AG64&lt;=0,0,MIN(AG64,N('Min gæld'!$E$12)+AF64))</f>
        <v>0</v>
      </c>
      <c r="AI64" s="27" t="n">
        <f aca="false">IF(AG64-AH64&lt;0.005,0,AG64-AH64)</f>
        <v>0</v>
      </c>
      <c r="AJ64" s="27" t="n">
        <f aca="false">G64+K64+O64+S64+W64+AA64+AE64+AI64</f>
        <v>0</v>
      </c>
      <c r="AK64" s="28" t="n">
        <f aca="false">IF(E64&gt;0,E64-N(G63),0)+IF(I64&gt;0,I64-N(K63),0)+IF(M64&gt;0,M64-N(O63),0)+IF(Q64&gt;0,Q64-N(S63),0)+IF(U64&gt;0,U64-N(W63),0)+IF(Y64&gt;0,Y64-N(AA63),0)+IF(AC64&gt;0,AC64-N(AE63),0)+IF(AG64&gt;0,AG64-N(AI63),0)</f>
        <v>0</v>
      </c>
    </row>
    <row r="65" customFormat="false" ht="15" hidden="false" customHeight="false" outlineLevel="0" collapsed="false">
      <c r="A65" s="25" t="n">
        <v>60</v>
      </c>
      <c r="B65" s="26" t="n">
        <f aca="false">EDATE('Min gæld'!$C$16,59)</f>
        <v>48183</v>
      </c>
      <c r="C65" s="27" t="n">
        <f aca="false">N('Min gæld'!$C$15)+IF(N(G64)&lt;=0.005,N('Min gæld'!$E$5),0)+IF(N(K64)&lt;=0.005,N('Min gæld'!$E$6),0)+IF(N(O64)&lt;=0.005,N('Min gæld'!$E$7),0)+IF(N(S64)&lt;=0.005,N('Min gæld'!$E$8),0)+IF(N(W64)&lt;=0.005,N('Min gæld'!$E$9),0)+IF(N(AA64)&lt;=0.005,N('Min gæld'!$E$10),0)+IF(N(AE64)&lt;=0.005,N('Min gæld'!$E$11),0)+IF(N(AI64)&lt;=0.005,N('Min gæld'!$E$12),0)</f>
        <v>4800</v>
      </c>
      <c r="D65" s="27" t="n">
        <f aca="false">MAX(0,C65)</f>
        <v>4800</v>
      </c>
      <c r="E65" s="27" t="n">
        <f aca="false">IF(N(G64)&lt;=0.005,0,N(G64)*(1+N('Min gæld'!$D$5)/12))</f>
        <v>0</v>
      </c>
      <c r="F65" s="27" t="n">
        <f aca="false">IF(E65&lt;=0,0,MIN(E65,N('Min gæld'!$E$5)+D65))</f>
        <v>0</v>
      </c>
      <c r="G65" s="27" t="n">
        <f aca="false">IF(E65-F65&lt;0.005,0,E65-F65)</f>
        <v>0</v>
      </c>
      <c r="H65" s="27" t="n">
        <f aca="false">MAX(0,IF(N(G64)&lt;=0.005,D65,D65+N('Min gæld'!$E$5)-F65))</f>
        <v>4800</v>
      </c>
      <c r="I65" s="27" t="n">
        <f aca="false">IF(N(K64)&lt;=0.005,0,N(K64)*(1+N('Min gæld'!$D$6)/12))</f>
        <v>0</v>
      </c>
      <c r="J65" s="27" t="n">
        <f aca="false">IF(I65&lt;=0,0,MIN(I65,N('Min gæld'!$E$6)+H65))</f>
        <v>0</v>
      </c>
      <c r="K65" s="27" t="n">
        <f aca="false">IF(I65-J65&lt;0.005,0,I65-J65)</f>
        <v>0</v>
      </c>
      <c r="L65" s="27" t="n">
        <f aca="false">MAX(0,IF(N(K64)&lt;=0.005,H65,H65+N('Min gæld'!$E$6)-J65))</f>
        <v>4800</v>
      </c>
      <c r="M65" s="27" t="n">
        <f aca="false">IF(N(O64)&lt;=0.005,0,N(O64)*(1+N('Min gæld'!$D$7)/12))</f>
        <v>0</v>
      </c>
      <c r="N65" s="27" t="n">
        <f aca="false">IF(M65&lt;=0,0,MIN(M65,N('Min gæld'!$E$7)+L65))</f>
        <v>0</v>
      </c>
      <c r="O65" s="27" t="n">
        <f aca="false">IF(M65-N65&lt;0.005,0,M65-N65)</f>
        <v>0</v>
      </c>
      <c r="P65" s="27" t="n">
        <f aca="false">MAX(0,IF(N(O64)&lt;=0.005,L65,L65+N('Min gæld'!$E$7)-N65))</f>
        <v>4800</v>
      </c>
      <c r="Q65" s="27" t="n">
        <f aca="false">IF(N(S64)&lt;=0.005,0,N(S64)*(1+N('Min gæld'!$D$8)/12))</f>
        <v>0</v>
      </c>
      <c r="R65" s="27" t="n">
        <f aca="false">IF(Q65&lt;=0,0,MIN(Q65,N('Min gæld'!$E$8)+P65))</f>
        <v>0</v>
      </c>
      <c r="S65" s="27" t="n">
        <f aca="false">IF(Q65-R65&lt;0.005,0,Q65-R65)</f>
        <v>0</v>
      </c>
      <c r="T65" s="27" t="n">
        <f aca="false">MAX(0,IF(N(S64)&lt;=0.005,P65,P65+N('Min gæld'!$E$8)-R65))</f>
        <v>4800</v>
      </c>
      <c r="U65" s="27" t="n">
        <f aca="false">IF(N(W64)&lt;=0.005,0,N(W64)*(1+N('Min gæld'!$D$9)/12))</f>
        <v>0</v>
      </c>
      <c r="V65" s="27" t="n">
        <f aca="false">IF(U65&lt;=0,0,MIN(U65,N('Min gæld'!$E$9)+T65))</f>
        <v>0</v>
      </c>
      <c r="W65" s="27" t="n">
        <f aca="false">IF(U65-V65&lt;0.005,0,U65-V65)</f>
        <v>0</v>
      </c>
      <c r="X65" s="27" t="n">
        <f aca="false">MAX(0,IF(N(W64)&lt;=0.005,T65,T65+N('Min gæld'!$E$9)-V65))</f>
        <v>4800</v>
      </c>
      <c r="Y65" s="27" t="n">
        <f aca="false">IF(N(AA64)&lt;=0.005,0,N(AA64)*(1+N('Min gæld'!$D$10)/12))</f>
        <v>0</v>
      </c>
      <c r="Z65" s="27" t="n">
        <f aca="false">IF(Y65&lt;=0,0,MIN(Y65,N('Min gæld'!$E$10)+X65))</f>
        <v>0</v>
      </c>
      <c r="AA65" s="27" t="n">
        <f aca="false">IF(Y65-Z65&lt;0.005,0,Y65-Z65)</f>
        <v>0</v>
      </c>
      <c r="AB65" s="27" t="n">
        <f aca="false">MAX(0,IF(N(AA64)&lt;=0.005,X65,X65+N('Min gæld'!$E$10)-Z65))</f>
        <v>4800</v>
      </c>
      <c r="AC65" s="27" t="n">
        <f aca="false">IF(N(AE64)&lt;=0.005,0,N(AE64)*(1+N('Min gæld'!$D$11)/12))</f>
        <v>0</v>
      </c>
      <c r="AD65" s="27" t="n">
        <f aca="false">IF(AC65&lt;=0,0,MIN(AC65,N('Min gæld'!$E$11)+AB65))</f>
        <v>0</v>
      </c>
      <c r="AE65" s="27" t="n">
        <f aca="false">IF(AC65-AD65&lt;0.005,0,AC65-AD65)</f>
        <v>0</v>
      </c>
      <c r="AF65" s="27" t="n">
        <f aca="false">MAX(0,IF(N(AE64)&lt;=0.005,AB65,AB65+N('Min gæld'!$E$11)-AD65))</f>
        <v>4800</v>
      </c>
      <c r="AG65" s="27" t="n">
        <f aca="false">IF(N(AI64)&lt;=0.005,0,N(AI64)*(1+N('Min gæld'!$D$12)/12))</f>
        <v>0</v>
      </c>
      <c r="AH65" s="27" t="n">
        <f aca="false">IF(AG65&lt;=0,0,MIN(AG65,N('Min gæld'!$E$12)+AF65))</f>
        <v>0</v>
      </c>
      <c r="AI65" s="27" t="n">
        <f aca="false">IF(AG65-AH65&lt;0.005,0,AG65-AH65)</f>
        <v>0</v>
      </c>
      <c r="AJ65" s="27" t="n">
        <f aca="false">G65+K65+O65+S65+W65+AA65+AE65+AI65</f>
        <v>0</v>
      </c>
      <c r="AK65" s="28" t="n">
        <f aca="false">IF(E65&gt;0,E65-N(G64),0)+IF(I65&gt;0,I65-N(K64),0)+IF(M65&gt;0,M65-N(O64),0)+IF(Q65&gt;0,Q65-N(S64),0)+IF(U65&gt;0,U65-N(W64),0)+IF(Y65&gt;0,Y65-N(AA64),0)+IF(AC65&gt;0,AC65-N(AE64),0)+IF(AG65&gt;0,AG65-N(AI64),0)</f>
        <v>0</v>
      </c>
    </row>
    <row r="66" customFormat="false" ht="15" hidden="false" customHeight="false" outlineLevel="0" collapsed="false">
      <c r="A66" s="25" t="n">
        <v>61</v>
      </c>
      <c r="B66" s="26" t="n">
        <f aca="false">EDATE('Min gæld'!$C$16,60)</f>
        <v>48214</v>
      </c>
      <c r="C66" s="27" t="n">
        <f aca="false">N('Min gæld'!$C$15)+IF(N(G65)&lt;=0.005,N('Min gæld'!$E$5),0)+IF(N(K65)&lt;=0.005,N('Min gæld'!$E$6),0)+IF(N(O65)&lt;=0.005,N('Min gæld'!$E$7),0)+IF(N(S65)&lt;=0.005,N('Min gæld'!$E$8),0)+IF(N(W65)&lt;=0.005,N('Min gæld'!$E$9),0)+IF(N(AA65)&lt;=0.005,N('Min gæld'!$E$10),0)+IF(N(AE65)&lt;=0.005,N('Min gæld'!$E$11),0)+IF(N(AI65)&lt;=0.005,N('Min gæld'!$E$12),0)</f>
        <v>4800</v>
      </c>
      <c r="D66" s="27" t="n">
        <f aca="false">MAX(0,C66)</f>
        <v>4800</v>
      </c>
      <c r="E66" s="27" t="n">
        <f aca="false">IF(N(G65)&lt;=0.005,0,N(G65)*(1+N('Min gæld'!$D$5)/12))</f>
        <v>0</v>
      </c>
      <c r="F66" s="27" t="n">
        <f aca="false">IF(E66&lt;=0,0,MIN(E66,N('Min gæld'!$E$5)+D66))</f>
        <v>0</v>
      </c>
      <c r="G66" s="27" t="n">
        <f aca="false">IF(E66-F66&lt;0.005,0,E66-F66)</f>
        <v>0</v>
      </c>
      <c r="H66" s="27" t="n">
        <f aca="false">MAX(0,IF(N(G65)&lt;=0.005,D66,D66+N('Min gæld'!$E$5)-F66))</f>
        <v>4800</v>
      </c>
      <c r="I66" s="27" t="n">
        <f aca="false">IF(N(K65)&lt;=0.005,0,N(K65)*(1+N('Min gæld'!$D$6)/12))</f>
        <v>0</v>
      </c>
      <c r="J66" s="27" t="n">
        <f aca="false">IF(I66&lt;=0,0,MIN(I66,N('Min gæld'!$E$6)+H66))</f>
        <v>0</v>
      </c>
      <c r="K66" s="27" t="n">
        <f aca="false">IF(I66-J66&lt;0.005,0,I66-J66)</f>
        <v>0</v>
      </c>
      <c r="L66" s="27" t="n">
        <f aca="false">MAX(0,IF(N(K65)&lt;=0.005,H66,H66+N('Min gæld'!$E$6)-J66))</f>
        <v>4800</v>
      </c>
      <c r="M66" s="27" t="n">
        <f aca="false">IF(N(O65)&lt;=0.005,0,N(O65)*(1+N('Min gæld'!$D$7)/12))</f>
        <v>0</v>
      </c>
      <c r="N66" s="27" t="n">
        <f aca="false">IF(M66&lt;=0,0,MIN(M66,N('Min gæld'!$E$7)+L66))</f>
        <v>0</v>
      </c>
      <c r="O66" s="27" t="n">
        <f aca="false">IF(M66-N66&lt;0.005,0,M66-N66)</f>
        <v>0</v>
      </c>
      <c r="P66" s="27" t="n">
        <f aca="false">MAX(0,IF(N(O65)&lt;=0.005,L66,L66+N('Min gæld'!$E$7)-N66))</f>
        <v>4800</v>
      </c>
      <c r="Q66" s="27" t="n">
        <f aca="false">IF(N(S65)&lt;=0.005,0,N(S65)*(1+N('Min gæld'!$D$8)/12))</f>
        <v>0</v>
      </c>
      <c r="R66" s="27" t="n">
        <f aca="false">IF(Q66&lt;=0,0,MIN(Q66,N('Min gæld'!$E$8)+P66))</f>
        <v>0</v>
      </c>
      <c r="S66" s="27" t="n">
        <f aca="false">IF(Q66-R66&lt;0.005,0,Q66-R66)</f>
        <v>0</v>
      </c>
      <c r="T66" s="27" t="n">
        <f aca="false">MAX(0,IF(N(S65)&lt;=0.005,P66,P66+N('Min gæld'!$E$8)-R66))</f>
        <v>4800</v>
      </c>
      <c r="U66" s="27" t="n">
        <f aca="false">IF(N(W65)&lt;=0.005,0,N(W65)*(1+N('Min gæld'!$D$9)/12))</f>
        <v>0</v>
      </c>
      <c r="V66" s="27" t="n">
        <f aca="false">IF(U66&lt;=0,0,MIN(U66,N('Min gæld'!$E$9)+T66))</f>
        <v>0</v>
      </c>
      <c r="W66" s="27" t="n">
        <f aca="false">IF(U66-V66&lt;0.005,0,U66-V66)</f>
        <v>0</v>
      </c>
      <c r="X66" s="27" t="n">
        <f aca="false">MAX(0,IF(N(W65)&lt;=0.005,T66,T66+N('Min gæld'!$E$9)-V66))</f>
        <v>4800</v>
      </c>
      <c r="Y66" s="27" t="n">
        <f aca="false">IF(N(AA65)&lt;=0.005,0,N(AA65)*(1+N('Min gæld'!$D$10)/12))</f>
        <v>0</v>
      </c>
      <c r="Z66" s="27" t="n">
        <f aca="false">IF(Y66&lt;=0,0,MIN(Y66,N('Min gæld'!$E$10)+X66))</f>
        <v>0</v>
      </c>
      <c r="AA66" s="27" t="n">
        <f aca="false">IF(Y66-Z66&lt;0.005,0,Y66-Z66)</f>
        <v>0</v>
      </c>
      <c r="AB66" s="27" t="n">
        <f aca="false">MAX(0,IF(N(AA65)&lt;=0.005,X66,X66+N('Min gæld'!$E$10)-Z66))</f>
        <v>4800</v>
      </c>
      <c r="AC66" s="27" t="n">
        <f aca="false">IF(N(AE65)&lt;=0.005,0,N(AE65)*(1+N('Min gæld'!$D$11)/12))</f>
        <v>0</v>
      </c>
      <c r="AD66" s="27" t="n">
        <f aca="false">IF(AC66&lt;=0,0,MIN(AC66,N('Min gæld'!$E$11)+AB66))</f>
        <v>0</v>
      </c>
      <c r="AE66" s="27" t="n">
        <f aca="false">IF(AC66-AD66&lt;0.005,0,AC66-AD66)</f>
        <v>0</v>
      </c>
      <c r="AF66" s="27" t="n">
        <f aca="false">MAX(0,IF(N(AE65)&lt;=0.005,AB66,AB66+N('Min gæld'!$E$11)-AD66))</f>
        <v>4800</v>
      </c>
      <c r="AG66" s="27" t="n">
        <f aca="false">IF(N(AI65)&lt;=0.005,0,N(AI65)*(1+N('Min gæld'!$D$12)/12))</f>
        <v>0</v>
      </c>
      <c r="AH66" s="27" t="n">
        <f aca="false">IF(AG66&lt;=0,0,MIN(AG66,N('Min gæld'!$E$12)+AF66))</f>
        <v>0</v>
      </c>
      <c r="AI66" s="27" t="n">
        <f aca="false">IF(AG66-AH66&lt;0.005,0,AG66-AH66)</f>
        <v>0</v>
      </c>
      <c r="AJ66" s="27" t="n">
        <f aca="false">G66+K66+O66+S66+W66+AA66+AE66+AI66</f>
        <v>0</v>
      </c>
      <c r="AK66" s="28" t="n">
        <f aca="false">IF(E66&gt;0,E66-N(G65),0)+IF(I66&gt;0,I66-N(K65),0)+IF(M66&gt;0,M66-N(O65),0)+IF(Q66&gt;0,Q66-N(S65),0)+IF(U66&gt;0,U66-N(W65),0)+IF(Y66&gt;0,Y66-N(AA65),0)+IF(AC66&gt;0,AC66-N(AE65),0)+IF(AG66&gt;0,AG66-N(AI65),0)</f>
        <v>0</v>
      </c>
    </row>
    <row r="67" customFormat="false" ht="15" hidden="false" customHeight="false" outlineLevel="0" collapsed="false">
      <c r="A67" s="25" t="n">
        <v>62</v>
      </c>
      <c r="B67" s="26" t="n">
        <f aca="false">EDATE('Min gæld'!$C$16,61)</f>
        <v>48245</v>
      </c>
      <c r="C67" s="27" t="n">
        <f aca="false">N('Min gæld'!$C$15)+IF(N(G66)&lt;=0.005,N('Min gæld'!$E$5),0)+IF(N(K66)&lt;=0.005,N('Min gæld'!$E$6),0)+IF(N(O66)&lt;=0.005,N('Min gæld'!$E$7),0)+IF(N(S66)&lt;=0.005,N('Min gæld'!$E$8),0)+IF(N(W66)&lt;=0.005,N('Min gæld'!$E$9),0)+IF(N(AA66)&lt;=0.005,N('Min gæld'!$E$10),0)+IF(N(AE66)&lt;=0.005,N('Min gæld'!$E$11),0)+IF(N(AI66)&lt;=0.005,N('Min gæld'!$E$12),0)</f>
        <v>4800</v>
      </c>
      <c r="D67" s="27" t="n">
        <f aca="false">MAX(0,C67)</f>
        <v>4800</v>
      </c>
      <c r="E67" s="27" t="n">
        <f aca="false">IF(N(G66)&lt;=0.005,0,N(G66)*(1+N('Min gæld'!$D$5)/12))</f>
        <v>0</v>
      </c>
      <c r="F67" s="27" t="n">
        <f aca="false">IF(E67&lt;=0,0,MIN(E67,N('Min gæld'!$E$5)+D67))</f>
        <v>0</v>
      </c>
      <c r="G67" s="27" t="n">
        <f aca="false">IF(E67-F67&lt;0.005,0,E67-F67)</f>
        <v>0</v>
      </c>
      <c r="H67" s="27" t="n">
        <f aca="false">MAX(0,IF(N(G66)&lt;=0.005,D67,D67+N('Min gæld'!$E$5)-F67))</f>
        <v>4800</v>
      </c>
      <c r="I67" s="27" t="n">
        <f aca="false">IF(N(K66)&lt;=0.005,0,N(K66)*(1+N('Min gæld'!$D$6)/12))</f>
        <v>0</v>
      </c>
      <c r="J67" s="27" t="n">
        <f aca="false">IF(I67&lt;=0,0,MIN(I67,N('Min gæld'!$E$6)+H67))</f>
        <v>0</v>
      </c>
      <c r="K67" s="27" t="n">
        <f aca="false">IF(I67-J67&lt;0.005,0,I67-J67)</f>
        <v>0</v>
      </c>
      <c r="L67" s="27" t="n">
        <f aca="false">MAX(0,IF(N(K66)&lt;=0.005,H67,H67+N('Min gæld'!$E$6)-J67))</f>
        <v>4800</v>
      </c>
      <c r="M67" s="27" t="n">
        <f aca="false">IF(N(O66)&lt;=0.005,0,N(O66)*(1+N('Min gæld'!$D$7)/12))</f>
        <v>0</v>
      </c>
      <c r="N67" s="27" t="n">
        <f aca="false">IF(M67&lt;=0,0,MIN(M67,N('Min gæld'!$E$7)+L67))</f>
        <v>0</v>
      </c>
      <c r="O67" s="27" t="n">
        <f aca="false">IF(M67-N67&lt;0.005,0,M67-N67)</f>
        <v>0</v>
      </c>
      <c r="P67" s="27" t="n">
        <f aca="false">MAX(0,IF(N(O66)&lt;=0.005,L67,L67+N('Min gæld'!$E$7)-N67))</f>
        <v>4800</v>
      </c>
      <c r="Q67" s="27" t="n">
        <f aca="false">IF(N(S66)&lt;=0.005,0,N(S66)*(1+N('Min gæld'!$D$8)/12))</f>
        <v>0</v>
      </c>
      <c r="R67" s="27" t="n">
        <f aca="false">IF(Q67&lt;=0,0,MIN(Q67,N('Min gæld'!$E$8)+P67))</f>
        <v>0</v>
      </c>
      <c r="S67" s="27" t="n">
        <f aca="false">IF(Q67-R67&lt;0.005,0,Q67-R67)</f>
        <v>0</v>
      </c>
      <c r="T67" s="27" t="n">
        <f aca="false">MAX(0,IF(N(S66)&lt;=0.005,P67,P67+N('Min gæld'!$E$8)-R67))</f>
        <v>4800</v>
      </c>
      <c r="U67" s="27" t="n">
        <f aca="false">IF(N(W66)&lt;=0.005,0,N(W66)*(1+N('Min gæld'!$D$9)/12))</f>
        <v>0</v>
      </c>
      <c r="V67" s="27" t="n">
        <f aca="false">IF(U67&lt;=0,0,MIN(U67,N('Min gæld'!$E$9)+T67))</f>
        <v>0</v>
      </c>
      <c r="W67" s="27" t="n">
        <f aca="false">IF(U67-V67&lt;0.005,0,U67-V67)</f>
        <v>0</v>
      </c>
      <c r="X67" s="27" t="n">
        <f aca="false">MAX(0,IF(N(W66)&lt;=0.005,T67,T67+N('Min gæld'!$E$9)-V67))</f>
        <v>4800</v>
      </c>
      <c r="Y67" s="27" t="n">
        <f aca="false">IF(N(AA66)&lt;=0.005,0,N(AA66)*(1+N('Min gæld'!$D$10)/12))</f>
        <v>0</v>
      </c>
      <c r="Z67" s="27" t="n">
        <f aca="false">IF(Y67&lt;=0,0,MIN(Y67,N('Min gæld'!$E$10)+X67))</f>
        <v>0</v>
      </c>
      <c r="AA67" s="27" t="n">
        <f aca="false">IF(Y67-Z67&lt;0.005,0,Y67-Z67)</f>
        <v>0</v>
      </c>
      <c r="AB67" s="27" t="n">
        <f aca="false">MAX(0,IF(N(AA66)&lt;=0.005,X67,X67+N('Min gæld'!$E$10)-Z67))</f>
        <v>4800</v>
      </c>
      <c r="AC67" s="27" t="n">
        <f aca="false">IF(N(AE66)&lt;=0.005,0,N(AE66)*(1+N('Min gæld'!$D$11)/12))</f>
        <v>0</v>
      </c>
      <c r="AD67" s="27" t="n">
        <f aca="false">IF(AC67&lt;=0,0,MIN(AC67,N('Min gæld'!$E$11)+AB67))</f>
        <v>0</v>
      </c>
      <c r="AE67" s="27" t="n">
        <f aca="false">IF(AC67-AD67&lt;0.005,0,AC67-AD67)</f>
        <v>0</v>
      </c>
      <c r="AF67" s="27" t="n">
        <f aca="false">MAX(0,IF(N(AE66)&lt;=0.005,AB67,AB67+N('Min gæld'!$E$11)-AD67))</f>
        <v>4800</v>
      </c>
      <c r="AG67" s="27" t="n">
        <f aca="false">IF(N(AI66)&lt;=0.005,0,N(AI66)*(1+N('Min gæld'!$D$12)/12))</f>
        <v>0</v>
      </c>
      <c r="AH67" s="27" t="n">
        <f aca="false">IF(AG67&lt;=0,0,MIN(AG67,N('Min gæld'!$E$12)+AF67))</f>
        <v>0</v>
      </c>
      <c r="AI67" s="27" t="n">
        <f aca="false">IF(AG67-AH67&lt;0.005,0,AG67-AH67)</f>
        <v>0</v>
      </c>
      <c r="AJ67" s="27" t="n">
        <f aca="false">G67+K67+O67+S67+W67+AA67+AE67+AI67</f>
        <v>0</v>
      </c>
      <c r="AK67" s="28" t="n">
        <f aca="false">IF(E67&gt;0,E67-N(G66),0)+IF(I67&gt;0,I67-N(K66),0)+IF(M67&gt;0,M67-N(O66),0)+IF(Q67&gt;0,Q67-N(S66),0)+IF(U67&gt;0,U67-N(W66),0)+IF(Y67&gt;0,Y67-N(AA66),0)+IF(AC67&gt;0,AC67-N(AE66),0)+IF(AG67&gt;0,AG67-N(AI66),0)</f>
        <v>0</v>
      </c>
    </row>
    <row r="68" customFormat="false" ht="15" hidden="false" customHeight="false" outlineLevel="0" collapsed="false">
      <c r="A68" s="25" t="n">
        <v>63</v>
      </c>
      <c r="B68" s="26" t="n">
        <f aca="false">EDATE('Min gæld'!$C$16,62)</f>
        <v>48274</v>
      </c>
      <c r="C68" s="27" t="n">
        <f aca="false">N('Min gæld'!$C$15)+IF(N(G67)&lt;=0.005,N('Min gæld'!$E$5),0)+IF(N(K67)&lt;=0.005,N('Min gæld'!$E$6),0)+IF(N(O67)&lt;=0.005,N('Min gæld'!$E$7),0)+IF(N(S67)&lt;=0.005,N('Min gæld'!$E$8),0)+IF(N(W67)&lt;=0.005,N('Min gæld'!$E$9),0)+IF(N(AA67)&lt;=0.005,N('Min gæld'!$E$10),0)+IF(N(AE67)&lt;=0.005,N('Min gæld'!$E$11),0)+IF(N(AI67)&lt;=0.005,N('Min gæld'!$E$12),0)</f>
        <v>4800</v>
      </c>
      <c r="D68" s="27" t="n">
        <f aca="false">MAX(0,C68)</f>
        <v>4800</v>
      </c>
      <c r="E68" s="27" t="n">
        <f aca="false">IF(N(G67)&lt;=0.005,0,N(G67)*(1+N('Min gæld'!$D$5)/12))</f>
        <v>0</v>
      </c>
      <c r="F68" s="27" t="n">
        <f aca="false">IF(E68&lt;=0,0,MIN(E68,N('Min gæld'!$E$5)+D68))</f>
        <v>0</v>
      </c>
      <c r="G68" s="27" t="n">
        <f aca="false">IF(E68-F68&lt;0.005,0,E68-F68)</f>
        <v>0</v>
      </c>
      <c r="H68" s="27" t="n">
        <f aca="false">MAX(0,IF(N(G67)&lt;=0.005,D68,D68+N('Min gæld'!$E$5)-F68))</f>
        <v>4800</v>
      </c>
      <c r="I68" s="27" t="n">
        <f aca="false">IF(N(K67)&lt;=0.005,0,N(K67)*(1+N('Min gæld'!$D$6)/12))</f>
        <v>0</v>
      </c>
      <c r="J68" s="27" t="n">
        <f aca="false">IF(I68&lt;=0,0,MIN(I68,N('Min gæld'!$E$6)+H68))</f>
        <v>0</v>
      </c>
      <c r="K68" s="27" t="n">
        <f aca="false">IF(I68-J68&lt;0.005,0,I68-J68)</f>
        <v>0</v>
      </c>
      <c r="L68" s="27" t="n">
        <f aca="false">MAX(0,IF(N(K67)&lt;=0.005,H68,H68+N('Min gæld'!$E$6)-J68))</f>
        <v>4800</v>
      </c>
      <c r="M68" s="27" t="n">
        <f aca="false">IF(N(O67)&lt;=0.005,0,N(O67)*(1+N('Min gæld'!$D$7)/12))</f>
        <v>0</v>
      </c>
      <c r="N68" s="27" t="n">
        <f aca="false">IF(M68&lt;=0,0,MIN(M68,N('Min gæld'!$E$7)+L68))</f>
        <v>0</v>
      </c>
      <c r="O68" s="27" t="n">
        <f aca="false">IF(M68-N68&lt;0.005,0,M68-N68)</f>
        <v>0</v>
      </c>
      <c r="P68" s="27" t="n">
        <f aca="false">MAX(0,IF(N(O67)&lt;=0.005,L68,L68+N('Min gæld'!$E$7)-N68))</f>
        <v>4800</v>
      </c>
      <c r="Q68" s="27" t="n">
        <f aca="false">IF(N(S67)&lt;=0.005,0,N(S67)*(1+N('Min gæld'!$D$8)/12))</f>
        <v>0</v>
      </c>
      <c r="R68" s="27" t="n">
        <f aca="false">IF(Q68&lt;=0,0,MIN(Q68,N('Min gæld'!$E$8)+P68))</f>
        <v>0</v>
      </c>
      <c r="S68" s="27" t="n">
        <f aca="false">IF(Q68-R68&lt;0.005,0,Q68-R68)</f>
        <v>0</v>
      </c>
      <c r="T68" s="27" t="n">
        <f aca="false">MAX(0,IF(N(S67)&lt;=0.005,P68,P68+N('Min gæld'!$E$8)-R68))</f>
        <v>4800</v>
      </c>
      <c r="U68" s="27" t="n">
        <f aca="false">IF(N(W67)&lt;=0.005,0,N(W67)*(1+N('Min gæld'!$D$9)/12))</f>
        <v>0</v>
      </c>
      <c r="V68" s="27" t="n">
        <f aca="false">IF(U68&lt;=0,0,MIN(U68,N('Min gæld'!$E$9)+T68))</f>
        <v>0</v>
      </c>
      <c r="W68" s="27" t="n">
        <f aca="false">IF(U68-V68&lt;0.005,0,U68-V68)</f>
        <v>0</v>
      </c>
      <c r="X68" s="27" t="n">
        <f aca="false">MAX(0,IF(N(W67)&lt;=0.005,T68,T68+N('Min gæld'!$E$9)-V68))</f>
        <v>4800</v>
      </c>
      <c r="Y68" s="27" t="n">
        <f aca="false">IF(N(AA67)&lt;=0.005,0,N(AA67)*(1+N('Min gæld'!$D$10)/12))</f>
        <v>0</v>
      </c>
      <c r="Z68" s="27" t="n">
        <f aca="false">IF(Y68&lt;=0,0,MIN(Y68,N('Min gæld'!$E$10)+X68))</f>
        <v>0</v>
      </c>
      <c r="AA68" s="27" t="n">
        <f aca="false">IF(Y68-Z68&lt;0.005,0,Y68-Z68)</f>
        <v>0</v>
      </c>
      <c r="AB68" s="27" t="n">
        <f aca="false">MAX(0,IF(N(AA67)&lt;=0.005,X68,X68+N('Min gæld'!$E$10)-Z68))</f>
        <v>4800</v>
      </c>
      <c r="AC68" s="27" t="n">
        <f aca="false">IF(N(AE67)&lt;=0.005,0,N(AE67)*(1+N('Min gæld'!$D$11)/12))</f>
        <v>0</v>
      </c>
      <c r="AD68" s="27" t="n">
        <f aca="false">IF(AC68&lt;=0,0,MIN(AC68,N('Min gæld'!$E$11)+AB68))</f>
        <v>0</v>
      </c>
      <c r="AE68" s="27" t="n">
        <f aca="false">IF(AC68-AD68&lt;0.005,0,AC68-AD68)</f>
        <v>0</v>
      </c>
      <c r="AF68" s="27" t="n">
        <f aca="false">MAX(0,IF(N(AE67)&lt;=0.005,AB68,AB68+N('Min gæld'!$E$11)-AD68))</f>
        <v>4800</v>
      </c>
      <c r="AG68" s="27" t="n">
        <f aca="false">IF(N(AI67)&lt;=0.005,0,N(AI67)*(1+N('Min gæld'!$D$12)/12))</f>
        <v>0</v>
      </c>
      <c r="AH68" s="27" t="n">
        <f aca="false">IF(AG68&lt;=0,0,MIN(AG68,N('Min gæld'!$E$12)+AF68))</f>
        <v>0</v>
      </c>
      <c r="AI68" s="27" t="n">
        <f aca="false">IF(AG68-AH68&lt;0.005,0,AG68-AH68)</f>
        <v>0</v>
      </c>
      <c r="AJ68" s="27" t="n">
        <f aca="false">G68+K68+O68+S68+W68+AA68+AE68+AI68</f>
        <v>0</v>
      </c>
      <c r="AK68" s="28" t="n">
        <f aca="false">IF(E68&gt;0,E68-N(G67),0)+IF(I68&gt;0,I68-N(K67),0)+IF(M68&gt;0,M68-N(O67),0)+IF(Q68&gt;0,Q68-N(S67),0)+IF(U68&gt;0,U68-N(W67),0)+IF(Y68&gt;0,Y68-N(AA67),0)+IF(AC68&gt;0,AC68-N(AE67),0)+IF(AG68&gt;0,AG68-N(AI67),0)</f>
        <v>0</v>
      </c>
    </row>
    <row r="69" customFormat="false" ht="15" hidden="false" customHeight="false" outlineLevel="0" collapsed="false">
      <c r="A69" s="25" t="n">
        <v>64</v>
      </c>
      <c r="B69" s="26" t="n">
        <f aca="false">EDATE('Min gæld'!$C$16,63)</f>
        <v>48305</v>
      </c>
      <c r="C69" s="27" t="n">
        <f aca="false">N('Min gæld'!$C$15)+IF(N(G68)&lt;=0.005,N('Min gæld'!$E$5),0)+IF(N(K68)&lt;=0.005,N('Min gæld'!$E$6),0)+IF(N(O68)&lt;=0.005,N('Min gæld'!$E$7),0)+IF(N(S68)&lt;=0.005,N('Min gæld'!$E$8),0)+IF(N(W68)&lt;=0.005,N('Min gæld'!$E$9),0)+IF(N(AA68)&lt;=0.005,N('Min gæld'!$E$10),0)+IF(N(AE68)&lt;=0.005,N('Min gæld'!$E$11),0)+IF(N(AI68)&lt;=0.005,N('Min gæld'!$E$12),0)</f>
        <v>4800</v>
      </c>
      <c r="D69" s="27" t="n">
        <f aca="false">MAX(0,C69)</f>
        <v>4800</v>
      </c>
      <c r="E69" s="27" t="n">
        <f aca="false">IF(N(G68)&lt;=0.005,0,N(G68)*(1+N('Min gæld'!$D$5)/12))</f>
        <v>0</v>
      </c>
      <c r="F69" s="27" t="n">
        <f aca="false">IF(E69&lt;=0,0,MIN(E69,N('Min gæld'!$E$5)+D69))</f>
        <v>0</v>
      </c>
      <c r="G69" s="27" t="n">
        <f aca="false">IF(E69-F69&lt;0.005,0,E69-F69)</f>
        <v>0</v>
      </c>
      <c r="H69" s="27" t="n">
        <f aca="false">MAX(0,IF(N(G68)&lt;=0.005,D69,D69+N('Min gæld'!$E$5)-F69))</f>
        <v>4800</v>
      </c>
      <c r="I69" s="27" t="n">
        <f aca="false">IF(N(K68)&lt;=0.005,0,N(K68)*(1+N('Min gæld'!$D$6)/12))</f>
        <v>0</v>
      </c>
      <c r="J69" s="27" t="n">
        <f aca="false">IF(I69&lt;=0,0,MIN(I69,N('Min gæld'!$E$6)+H69))</f>
        <v>0</v>
      </c>
      <c r="K69" s="27" t="n">
        <f aca="false">IF(I69-J69&lt;0.005,0,I69-J69)</f>
        <v>0</v>
      </c>
      <c r="L69" s="27" t="n">
        <f aca="false">MAX(0,IF(N(K68)&lt;=0.005,H69,H69+N('Min gæld'!$E$6)-J69))</f>
        <v>4800</v>
      </c>
      <c r="M69" s="27" t="n">
        <f aca="false">IF(N(O68)&lt;=0.005,0,N(O68)*(1+N('Min gæld'!$D$7)/12))</f>
        <v>0</v>
      </c>
      <c r="N69" s="27" t="n">
        <f aca="false">IF(M69&lt;=0,0,MIN(M69,N('Min gæld'!$E$7)+L69))</f>
        <v>0</v>
      </c>
      <c r="O69" s="27" t="n">
        <f aca="false">IF(M69-N69&lt;0.005,0,M69-N69)</f>
        <v>0</v>
      </c>
      <c r="P69" s="27" t="n">
        <f aca="false">MAX(0,IF(N(O68)&lt;=0.005,L69,L69+N('Min gæld'!$E$7)-N69))</f>
        <v>4800</v>
      </c>
      <c r="Q69" s="27" t="n">
        <f aca="false">IF(N(S68)&lt;=0.005,0,N(S68)*(1+N('Min gæld'!$D$8)/12))</f>
        <v>0</v>
      </c>
      <c r="R69" s="27" t="n">
        <f aca="false">IF(Q69&lt;=0,0,MIN(Q69,N('Min gæld'!$E$8)+P69))</f>
        <v>0</v>
      </c>
      <c r="S69" s="27" t="n">
        <f aca="false">IF(Q69-R69&lt;0.005,0,Q69-R69)</f>
        <v>0</v>
      </c>
      <c r="T69" s="27" t="n">
        <f aca="false">MAX(0,IF(N(S68)&lt;=0.005,P69,P69+N('Min gæld'!$E$8)-R69))</f>
        <v>4800</v>
      </c>
      <c r="U69" s="27" t="n">
        <f aca="false">IF(N(W68)&lt;=0.005,0,N(W68)*(1+N('Min gæld'!$D$9)/12))</f>
        <v>0</v>
      </c>
      <c r="V69" s="27" t="n">
        <f aca="false">IF(U69&lt;=0,0,MIN(U69,N('Min gæld'!$E$9)+T69))</f>
        <v>0</v>
      </c>
      <c r="W69" s="27" t="n">
        <f aca="false">IF(U69-V69&lt;0.005,0,U69-V69)</f>
        <v>0</v>
      </c>
      <c r="X69" s="27" t="n">
        <f aca="false">MAX(0,IF(N(W68)&lt;=0.005,T69,T69+N('Min gæld'!$E$9)-V69))</f>
        <v>4800</v>
      </c>
      <c r="Y69" s="27" t="n">
        <f aca="false">IF(N(AA68)&lt;=0.005,0,N(AA68)*(1+N('Min gæld'!$D$10)/12))</f>
        <v>0</v>
      </c>
      <c r="Z69" s="27" t="n">
        <f aca="false">IF(Y69&lt;=0,0,MIN(Y69,N('Min gæld'!$E$10)+X69))</f>
        <v>0</v>
      </c>
      <c r="AA69" s="27" t="n">
        <f aca="false">IF(Y69-Z69&lt;0.005,0,Y69-Z69)</f>
        <v>0</v>
      </c>
      <c r="AB69" s="27" t="n">
        <f aca="false">MAX(0,IF(N(AA68)&lt;=0.005,X69,X69+N('Min gæld'!$E$10)-Z69))</f>
        <v>4800</v>
      </c>
      <c r="AC69" s="27" t="n">
        <f aca="false">IF(N(AE68)&lt;=0.005,0,N(AE68)*(1+N('Min gæld'!$D$11)/12))</f>
        <v>0</v>
      </c>
      <c r="AD69" s="27" t="n">
        <f aca="false">IF(AC69&lt;=0,0,MIN(AC69,N('Min gæld'!$E$11)+AB69))</f>
        <v>0</v>
      </c>
      <c r="AE69" s="27" t="n">
        <f aca="false">IF(AC69-AD69&lt;0.005,0,AC69-AD69)</f>
        <v>0</v>
      </c>
      <c r="AF69" s="27" t="n">
        <f aca="false">MAX(0,IF(N(AE68)&lt;=0.005,AB69,AB69+N('Min gæld'!$E$11)-AD69))</f>
        <v>4800</v>
      </c>
      <c r="AG69" s="27" t="n">
        <f aca="false">IF(N(AI68)&lt;=0.005,0,N(AI68)*(1+N('Min gæld'!$D$12)/12))</f>
        <v>0</v>
      </c>
      <c r="AH69" s="27" t="n">
        <f aca="false">IF(AG69&lt;=0,0,MIN(AG69,N('Min gæld'!$E$12)+AF69))</f>
        <v>0</v>
      </c>
      <c r="AI69" s="27" t="n">
        <f aca="false">IF(AG69-AH69&lt;0.005,0,AG69-AH69)</f>
        <v>0</v>
      </c>
      <c r="AJ69" s="27" t="n">
        <f aca="false">G69+K69+O69+S69+W69+AA69+AE69+AI69</f>
        <v>0</v>
      </c>
      <c r="AK69" s="28" t="n">
        <f aca="false">IF(E69&gt;0,E69-N(G68),0)+IF(I69&gt;0,I69-N(K68),0)+IF(M69&gt;0,M69-N(O68),0)+IF(Q69&gt;0,Q69-N(S68),0)+IF(U69&gt;0,U69-N(W68),0)+IF(Y69&gt;0,Y69-N(AA68),0)+IF(AC69&gt;0,AC69-N(AE68),0)+IF(AG69&gt;0,AG69-N(AI68),0)</f>
        <v>0</v>
      </c>
    </row>
    <row r="70" customFormat="false" ht="15" hidden="false" customHeight="false" outlineLevel="0" collapsed="false">
      <c r="A70" s="25" t="n">
        <v>65</v>
      </c>
      <c r="B70" s="26" t="n">
        <f aca="false">EDATE('Min gæld'!$C$16,64)</f>
        <v>48335</v>
      </c>
      <c r="C70" s="27" t="n">
        <f aca="false">N('Min gæld'!$C$15)+IF(N(G69)&lt;=0.005,N('Min gæld'!$E$5),0)+IF(N(K69)&lt;=0.005,N('Min gæld'!$E$6),0)+IF(N(O69)&lt;=0.005,N('Min gæld'!$E$7),0)+IF(N(S69)&lt;=0.005,N('Min gæld'!$E$8),0)+IF(N(W69)&lt;=0.005,N('Min gæld'!$E$9),0)+IF(N(AA69)&lt;=0.005,N('Min gæld'!$E$10),0)+IF(N(AE69)&lt;=0.005,N('Min gæld'!$E$11),0)+IF(N(AI69)&lt;=0.005,N('Min gæld'!$E$12),0)</f>
        <v>4800</v>
      </c>
      <c r="D70" s="27" t="n">
        <f aca="false">MAX(0,C70)</f>
        <v>4800</v>
      </c>
      <c r="E70" s="27" t="n">
        <f aca="false">IF(N(G69)&lt;=0.005,0,N(G69)*(1+N('Min gæld'!$D$5)/12))</f>
        <v>0</v>
      </c>
      <c r="F70" s="27" t="n">
        <f aca="false">IF(E70&lt;=0,0,MIN(E70,N('Min gæld'!$E$5)+D70))</f>
        <v>0</v>
      </c>
      <c r="G70" s="27" t="n">
        <f aca="false">IF(E70-F70&lt;0.005,0,E70-F70)</f>
        <v>0</v>
      </c>
      <c r="H70" s="27" t="n">
        <f aca="false">MAX(0,IF(N(G69)&lt;=0.005,D70,D70+N('Min gæld'!$E$5)-F70))</f>
        <v>4800</v>
      </c>
      <c r="I70" s="27" t="n">
        <f aca="false">IF(N(K69)&lt;=0.005,0,N(K69)*(1+N('Min gæld'!$D$6)/12))</f>
        <v>0</v>
      </c>
      <c r="J70" s="27" t="n">
        <f aca="false">IF(I70&lt;=0,0,MIN(I70,N('Min gæld'!$E$6)+H70))</f>
        <v>0</v>
      </c>
      <c r="K70" s="27" t="n">
        <f aca="false">IF(I70-J70&lt;0.005,0,I70-J70)</f>
        <v>0</v>
      </c>
      <c r="L70" s="27" t="n">
        <f aca="false">MAX(0,IF(N(K69)&lt;=0.005,H70,H70+N('Min gæld'!$E$6)-J70))</f>
        <v>4800</v>
      </c>
      <c r="M70" s="27" t="n">
        <f aca="false">IF(N(O69)&lt;=0.005,0,N(O69)*(1+N('Min gæld'!$D$7)/12))</f>
        <v>0</v>
      </c>
      <c r="N70" s="27" t="n">
        <f aca="false">IF(M70&lt;=0,0,MIN(M70,N('Min gæld'!$E$7)+L70))</f>
        <v>0</v>
      </c>
      <c r="O70" s="27" t="n">
        <f aca="false">IF(M70-N70&lt;0.005,0,M70-N70)</f>
        <v>0</v>
      </c>
      <c r="P70" s="27" t="n">
        <f aca="false">MAX(0,IF(N(O69)&lt;=0.005,L70,L70+N('Min gæld'!$E$7)-N70))</f>
        <v>4800</v>
      </c>
      <c r="Q70" s="27" t="n">
        <f aca="false">IF(N(S69)&lt;=0.005,0,N(S69)*(1+N('Min gæld'!$D$8)/12))</f>
        <v>0</v>
      </c>
      <c r="R70" s="27" t="n">
        <f aca="false">IF(Q70&lt;=0,0,MIN(Q70,N('Min gæld'!$E$8)+P70))</f>
        <v>0</v>
      </c>
      <c r="S70" s="27" t="n">
        <f aca="false">IF(Q70-R70&lt;0.005,0,Q70-R70)</f>
        <v>0</v>
      </c>
      <c r="T70" s="27" t="n">
        <f aca="false">MAX(0,IF(N(S69)&lt;=0.005,P70,P70+N('Min gæld'!$E$8)-R70))</f>
        <v>4800</v>
      </c>
      <c r="U70" s="27" t="n">
        <f aca="false">IF(N(W69)&lt;=0.005,0,N(W69)*(1+N('Min gæld'!$D$9)/12))</f>
        <v>0</v>
      </c>
      <c r="V70" s="27" t="n">
        <f aca="false">IF(U70&lt;=0,0,MIN(U70,N('Min gæld'!$E$9)+T70))</f>
        <v>0</v>
      </c>
      <c r="W70" s="27" t="n">
        <f aca="false">IF(U70-V70&lt;0.005,0,U70-V70)</f>
        <v>0</v>
      </c>
      <c r="X70" s="27" t="n">
        <f aca="false">MAX(0,IF(N(W69)&lt;=0.005,T70,T70+N('Min gæld'!$E$9)-V70))</f>
        <v>4800</v>
      </c>
      <c r="Y70" s="27" t="n">
        <f aca="false">IF(N(AA69)&lt;=0.005,0,N(AA69)*(1+N('Min gæld'!$D$10)/12))</f>
        <v>0</v>
      </c>
      <c r="Z70" s="27" t="n">
        <f aca="false">IF(Y70&lt;=0,0,MIN(Y70,N('Min gæld'!$E$10)+X70))</f>
        <v>0</v>
      </c>
      <c r="AA70" s="27" t="n">
        <f aca="false">IF(Y70-Z70&lt;0.005,0,Y70-Z70)</f>
        <v>0</v>
      </c>
      <c r="AB70" s="27" t="n">
        <f aca="false">MAX(0,IF(N(AA69)&lt;=0.005,X70,X70+N('Min gæld'!$E$10)-Z70))</f>
        <v>4800</v>
      </c>
      <c r="AC70" s="27" t="n">
        <f aca="false">IF(N(AE69)&lt;=0.005,0,N(AE69)*(1+N('Min gæld'!$D$11)/12))</f>
        <v>0</v>
      </c>
      <c r="AD70" s="27" t="n">
        <f aca="false">IF(AC70&lt;=0,0,MIN(AC70,N('Min gæld'!$E$11)+AB70))</f>
        <v>0</v>
      </c>
      <c r="AE70" s="27" t="n">
        <f aca="false">IF(AC70-AD70&lt;0.005,0,AC70-AD70)</f>
        <v>0</v>
      </c>
      <c r="AF70" s="27" t="n">
        <f aca="false">MAX(0,IF(N(AE69)&lt;=0.005,AB70,AB70+N('Min gæld'!$E$11)-AD70))</f>
        <v>4800</v>
      </c>
      <c r="AG70" s="27" t="n">
        <f aca="false">IF(N(AI69)&lt;=0.005,0,N(AI69)*(1+N('Min gæld'!$D$12)/12))</f>
        <v>0</v>
      </c>
      <c r="AH70" s="27" t="n">
        <f aca="false">IF(AG70&lt;=0,0,MIN(AG70,N('Min gæld'!$E$12)+AF70))</f>
        <v>0</v>
      </c>
      <c r="AI70" s="27" t="n">
        <f aca="false">IF(AG70-AH70&lt;0.005,0,AG70-AH70)</f>
        <v>0</v>
      </c>
      <c r="AJ70" s="27" t="n">
        <f aca="false">G70+K70+O70+S70+W70+AA70+AE70+AI70</f>
        <v>0</v>
      </c>
      <c r="AK70" s="28" t="n">
        <f aca="false">IF(E70&gt;0,E70-N(G69),0)+IF(I70&gt;0,I70-N(K69),0)+IF(M70&gt;0,M70-N(O69),0)+IF(Q70&gt;0,Q70-N(S69),0)+IF(U70&gt;0,U70-N(W69),0)+IF(Y70&gt;0,Y70-N(AA69),0)+IF(AC70&gt;0,AC70-N(AE69),0)+IF(AG70&gt;0,AG70-N(AI69),0)</f>
        <v>0</v>
      </c>
    </row>
    <row r="71" customFormat="false" ht="15" hidden="false" customHeight="false" outlineLevel="0" collapsed="false">
      <c r="A71" s="25" t="n">
        <v>66</v>
      </c>
      <c r="B71" s="26" t="n">
        <f aca="false">EDATE('Min gæld'!$C$16,65)</f>
        <v>48366</v>
      </c>
      <c r="C71" s="27" t="n">
        <f aca="false">N('Min gæld'!$C$15)+IF(N(G70)&lt;=0.005,N('Min gæld'!$E$5),0)+IF(N(K70)&lt;=0.005,N('Min gæld'!$E$6),0)+IF(N(O70)&lt;=0.005,N('Min gæld'!$E$7),0)+IF(N(S70)&lt;=0.005,N('Min gæld'!$E$8),0)+IF(N(W70)&lt;=0.005,N('Min gæld'!$E$9),0)+IF(N(AA70)&lt;=0.005,N('Min gæld'!$E$10),0)+IF(N(AE70)&lt;=0.005,N('Min gæld'!$E$11),0)+IF(N(AI70)&lt;=0.005,N('Min gæld'!$E$12),0)</f>
        <v>4800</v>
      </c>
      <c r="D71" s="27" t="n">
        <f aca="false">MAX(0,C71)</f>
        <v>4800</v>
      </c>
      <c r="E71" s="27" t="n">
        <f aca="false">IF(N(G70)&lt;=0.005,0,N(G70)*(1+N('Min gæld'!$D$5)/12))</f>
        <v>0</v>
      </c>
      <c r="F71" s="27" t="n">
        <f aca="false">IF(E71&lt;=0,0,MIN(E71,N('Min gæld'!$E$5)+D71))</f>
        <v>0</v>
      </c>
      <c r="G71" s="27" t="n">
        <f aca="false">IF(E71-F71&lt;0.005,0,E71-F71)</f>
        <v>0</v>
      </c>
      <c r="H71" s="27" t="n">
        <f aca="false">MAX(0,IF(N(G70)&lt;=0.005,D71,D71+N('Min gæld'!$E$5)-F71))</f>
        <v>4800</v>
      </c>
      <c r="I71" s="27" t="n">
        <f aca="false">IF(N(K70)&lt;=0.005,0,N(K70)*(1+N('Min gæld'!$D$6)/12))</f>
        <v>0</v>
      </c>
      <c r="J71" s="27" t="n">
        <f aca="false">IF(I71&lt;=0,0,MIN(I71,N('Min gæld'!$E$6)+H71))</f>
        <v>0</v>
      </c>
      <c r="K71" s="27" t="n">
        <f aca="false">IF(I71-J71&lt;0.005,0,I71-J71)</f>
        <v>0</v>
      </c>
      <c r="L71" s="27" t="n">
        <f aca="false">MAX(0,IF(N(K70)&lt;=0.005,H71,H71+N('Min gæld'!$E$6)-J71))</f>
        <v>4800</v>
      </c>
      <c r="M71" s="27" t="n">
        <f aca="false">IF(N(O70)&lt;=0.005,0,N(O70)*(1+N('Min gæld'!$D$7)/12))</f>
        <v>0</v>
      </c>
      <c r="N71" s="27" t="n">
        <f aca="false">IF(M71&lt;=0,0,MIN(M71,N('Min gæld'!$E$7)+L71))</f>
        <v>0</v>
      </c>
      <c r="O71" s="27" t="n">
        <f aca="false">IF(M71-N71&lt;0.005,0,M71-N71)</f>
        <v>0</v>
      </c>
      <c r="P71" s="27" t="n">
        <f aca="false">MAX(0,IF(N(O70)&lt;=0.005,L71,L71+N('Min gæld'!$E$7)-N71))</f>
        <v>4800</v>
      </c>
      <c r="Q71" s="27" t="n">
        <f aca="false">IF(N(S70)&lt;=0.005,0,N(S70)*(1+N('Min gæld'!$D$8)/12))</f>
        <v>0</v>
      </c>
      <c r="R71" s="27" t="n">
        <f aca="false">IF(Q71&lt;=0,0,MIN(Q71,N('Min gæld'!$E$8)+P71))</f>
        <v>0</v>
      </c>
      <c r="S71" s="27" t="n">
        <f aca="false">IF(Q71-R71&lt;0.005,0,Q71-R71)</f>
        <v>0</v>
      </c>
      <c r="T71" s="27" t="n">
        <f aca="false">MAX(0,IF(N(S70)&lt;=0.005,P71,P71+N('Min gæld'!$E$8)-R71))</f>
        <v>4800</v>
      </c>
      <c r="U71" s="27" t="n">
        <f aca="false">IF(N(W70)&lt;=0.005,0,N(W70)*(1+N('Min gæld'!$D$9)/12))</f>
        <v>0</v>
      </c>
      <c r="V71" s="27" t="n">
        <f aca="false">IF(U71&lt;=0,0,MIN(U71,N('Min gæld'!$E$9)+T71))</f>
        <v>0</v>
      </c>
      <c r="W71" s="27" t="n">
        <f aca="false">IF(U71-V71&lt;0.005,0,U71-V71)</f>
        <v>0</v>
      </c>
      <c r="X71" s="27" t="n">
        <f aca="false">MAX(0,IF(N(W70)&lt;=0.005,T71,T71+N('Min gæld'!$E$9)-V71))</f>
        <v>4800</v>
      </c>
      <c r="Y71" s="27" t="n">
        <f aca="false">IF(N(AA70)&lt;=0.005,0,N(AA70)*(1+N('Min gæld'!$D$10)/12))</f>
        <v>0</v>
      </c>
      <c r="Z71" s="27" t="n">
        <f aca="false">IF(Y71&lt;=0,0,MIN(Y71,N('Min gæld'!$E$10)+X71))</f>
        <v>0</v>
      </c>
      <c r="AA71" s="27" t="n">
        <f aca="false">IF(Y71-Z71&lt;0.005,0,Y71-Z71)</f>
        <v>0</v>
      </c>
      <c r="AB71" s="27" t="n">
        <f aca="false">MAX(0,IF(N(AA70)&lt;=0.005,X71,X71+N('Min gæld'!$E$10)-Z71))</f>
        <v>4800</v>
      </c>
      <c r="AC71" s="27" t="n">
        <f aca="false">IF(N(AE70)&lt;=0.005,0,N(AE70)*(1+N('Min gæld'!$D$11)/12))</f>
        <v>0</v>
      </c>
      <c r="AD71" s="27" t="n">
        <f aca="false">IF(AC71&lt;=0,0,MIN(AC71,N('Min gæld'!$E$11)+AB71))</f>
        <v>0</v>
      </c>
      <c r="AE71" s="27" t="n">
        <f aca="false">IF(AC71-AD71&lt;0.005,0,AC71-AD71)</f>
        <v>0</v>
      </c>
      <c r="AF71" s="27" t="n">
        <f aca="false">MAX(0,IF(N(AE70)&lt;=0.005,AB71,AB71+N('Min gæld'!$E$11)-AD71))</f>
        <v>4800</v>
      </c>
      <c r="AG71" s="27" t="n">
        <f aca="false">IF(N(AI70)&lt;=0.005,0,N(AI70)*(1+N('Min gæld'!$D$12)/12))</f>
        <v>0</v>
      </c>
      <c r="AH71" s="27" t="n">
        <f aca="false">IF(AG71&lt;=0,0,MIN(AG71,N('Min gæld'!$E$12)+AF71))</f>
        <v>0</v>
      </c>
      <c r="AI71" s="27" t="n">
        <f aca="false">IF(AG71-AH71&lt;0.005,0,AG71-AH71)</f>
        <v>0</v>
      </c>
      <c r="AJ71" s="27" t="n">
        <f aca="false">G71+K71+O71+S71+W71+AA71+AE71+AI71</f>
        <v>0</v>
      </c>
      <c r="AK71" s="28" t="n">
        <f aca="false">IF(E71&gt;0,E71-N(G70),0)+IF(I71&gt;0,I71-N(K70),0)+IF(M71&gt;0,M71-N(O70),0)+IF(Q71&gt;0,Q71-N(S70),0)+IF(U71&gt;0,U71-N(W70),0)+IF(Y71&gt;0,Y71-N(AA70),0)+IF(AC71&gt;0,AC71-N(AE70),0)+IF(AG71&gt;0,AG71-N(AI70),0)</f>
        <v>0</v>
      </c>
    </row>
    <row r="72" customFormat="false" ht="15" hidden="false" customHeight="false" outlineLevel="0" collapsed="false">
      <c r="A72" s="25" t="n">
        <v>67</v>
      </c>
      <c r="B72" s="26" t="n">
        <f aca="false">EDATE('Min gæld'!$C$16,66)</f>
        <v>48396</v>
      </c>
      <c r="C72" s="27" t="n">
        <f aca="false">N('Min gæld'!$C$15)+IF(N(G71)&lt;=0.005,N('Min gæld'!$E$5),0)+IF(N(K71)&lt;=0.005,N('Min gæld'!$E$6),0)+IF(N(O71)&lt;=0.005,N('Min gæld'!$E$7),0)+IF(N(S71)&lt;=0.005,N('Min gæld'!$E$8),0)+IF(N(W71)&lt;=0.005,N('Min gæld'!$E$9),0)+IF(N(AA71)&lt;=0.005,N('Min gæld'!$E$10),0)+IF(N(AE71)&lt;=0.005,N('Min gæld'!$E$11),0)+IF(N(AI71)&lt;=0.005,N('Min gæld'!$E$12),0)</f>
        <v>4800</v>
      </c>
      <c r="D72" s="27" t="n">
        <f aca="false">MAX(0,C72)</f>
        <v>4800</v>
      </c>
      <c r="E72" s="27" t="n">
        <f aca="false">IF(N(G71)&lt;=0.005,0,N(G71)*(1+N('Min gæld'!$D$5)/12))</f>
        <v>0</v>
      </c>
      <c r="F72" s="27" t="n">
        <f aca="false">IF(E72&lt;=0,0,MIN(E72,N('Min gæld'!$E$5)+D72))</f>
        <v>0</v>
      </c>
      <c r="G72" s="27" t="n">
        <f aca="false">IF(E72-F72&lt;0.005,0,E72-F72)</f>
        <v>0</v>
      </c>
      <c r="H72" s="27" t="n">
        <f aca="false">MAX(0,IF(N(G71)&lt;=0.005,D72,D72+N('Min gæld'!$E$5)-F72))</f>
        <v>4800</v>
      </c>
      <c r="I72" s="27" t="n">
        <f aca="false">IF(N(K71)&lt;=0.005,0,N(K71)*(1+N('Min gæld'!$D$6)/12))</f>
        <v>0</v>
      </c>
      <c r="J72" s="27" t="n">
        <f aca="false">IF(I72&lt;=0,0,MIN(I72,N('Min gæld'!$E$6)+H72))</f>
        <v>0</v>
      </c>
      <c r="K72" s="27" t="n">
        <f aca="false">IF(I72-J72&lt;0.005,0,I72-J72)</f>
        <v>0</v>
      </c>
      <c r="L72" s="27" t="n">
        <f aca="false">MAX(0,IF(N(K71)&lt;=0.005,H72,H72+N('Min gæld'!$E$6)-J72))</f>
        <v>4800</v>
      </c>
      <c r="M72" s="27" t="n">
        <f aca="false">IF(N(O71)&lt;=0.005,0,N(O71)*(1+N('Min gæld'!$D$7)/12))</f>
        <v>0</v>
      </c>
      <c r="N72" s="27" t="n">
        <f aca="false">IF(M72&lt;=0,0,MIN(M72,N('Min gæld'!$E$7)+L72))</f>
        <v>0</v>
      </c>
      <c r="O72" s="27" t="n">
        <f aca="false">IF(M72-N72&lt;0.005,0,M72-N72)</f>
        <v>0</v>
      </c>
      <c r="P72" s="27" t="n">
        <f aca="false">MAX(0,IF(N(O71)&lt;=0.005,L72,L72+N('Min gæld'!$E$7)-N72))</f>
        <v>4800</v>
      </c>
      <c r="Q72" s="27" t="n">
        <f aca="false">IF(N(S71)&lt;=0.005,0,N(S71)*(1+N('Min gæld'!$D$8)/12))</f>
        <v>0</v>
      </c>
      <c r="R72" s="27" t="n">
        <f aca="false">IF(Q72&lt;=0,0,MIN(Q72,N('Min gæld'!$E$8)+P72))</f>
        <v>0</v>
      </c>
      <c r="S72" s="27" t="n">
        <f aca="false">IF(Q72-R72&lt;0.005,0,Q72-R72)</f>
        <v>0</v>
      </c>
      <c r="T72" s="27" t="n">
        <f aca="false">MAX(0,IF(N(S71)&lt;=0.005,P72,P72+N('Min gæld'!$E$8)-R72))</f>
        <v>4800</v>
      </c>
      <c r="U72" s="27" t="n">
        <f aca="false">IF(N(W71)&lt;=0.005,0,N(W71)*(1+N('Min gæld'!$D$9)/12))</f>
        <v>0</v>
      </c>
      <c r="V72" s="27" t="n">
        <f aca="false">IF(U72&lt;=0,0,MIN(U72,N('Min gæld'!$E$9)+T72))</f>
        <v>0</v>
      </c>
      <c r="W72" s="27" t="n">
        <f aca="false">IF(U72-V72&lt;0.005,0,U72-V72)</f>
        <v>0</v>
      </c>
      <c r="X72" s="27" t="n">
        <f aca="false">MAX(0,IF(N(W71)&lt;=0.005,T72,T72+N('Min gæld'!$E$9)-V72))</f>
        <v>4800</v>
      </c>
      <c r="Y72" s="27" t="n">
        <f aca="false">IF(N(AA71)&lt;=0.005,0,N(AA71)*(1+N('Min gæld'!$D$10)/12))</f>
        <v>0</v>
      </c>
      <c r="Z72" s="27" t="n">
        <f aca="false">IF(Y72&lt;=0,0,MIN(Y72,N('Min gæld'!$E$10)+X72))</f>
        <v>0</v>
      </c>
      <c r="AA72" s="27" t="n">
        <f aca="false">IF(Y72-Z72&lt;0.005,0,Y72-Z72)</f>
        <v>0</v>
      </c>
      <c r="AB72" s="27" t="n">
        <f aca="false">MAX(0,IF(N(AA71)&lt;=0.005,X72,X72+N('Min gæld'!$E$10)-Z72))</f>
        <v>4800</v>
      </c>
      <c r="AC72" s="27" t="n">
        <f aca="false">IF(N(AE71)&lt;=0.005,0,N(AE71)*(1+N('Min gæld'!$D$11)/12))</f>
        <v>0</v>
      </c>
      <c r="AD72" s="27" t="n">
        <f aca="false">IF(AC72&lt;=0,0,MIN(AC72,N('Min gæld'!$E$11)+AB72))</f>
        <v>0</v>
      </c>
      <c r="AE72" s="27" t="n">
        <f aca="false">IF(AC72-AD72&lt;0.005,0,AC72-AD72)</f>
        <v>0</v>
      </c>
      <c r="AF72" s="27" t="n">
        <f aca="false">MAX(0,IF(N(AE71)&lt;=0.005,AB72,AB72+N('Min gæld'!$E$11)-AD72))</f>
        <v>4800</v>
      </c>
      <c r="AG72" s="27" t="n">
        <f aca="false">IF(N(AI71)&lt;=0.005,0,N(AI71)*(1+N('Min gæld'!$D$12)/12))</f>
        <v>0</v>
      </c>
      <c r="AH72" s="27" t="n">
        <f aca="false">IF(AG72&lt;=0,0,MIN(AG72,N('Min gæld'!$E$12)+AF72))</f>
        <v>0</v>
      </c>
      <c r="AI72" s="27" t="n">
        <f aca="false">IF(AG72-AH72&lt;0.005,0,AG72-AH72)</f>
        <v>0</v>
      </c>
      <c r="AJ72" s="27" t="n">
        <f aca="false">G72+K72+O72+S72+W72+AA72+AE72+AI72</f>
        <v>0</v>
      </c>
      <c r="AK72" s="28" t="n">
        <f aca="false">IF(E72&gt;0,E72-N(G71),0)+IF(I72&gt;0,I72-N(K71),0)+IF(M72&gt;0,M72-N(O71),0)+IF(Q72&gt;0,Q72-N(S71),0)+IF(U72&gt;0,U72-N(W71),0)+IF(Y72&gt;0,Y72-N(AA71),0)+IF(AC72&gt;0,AC72-N(AE71),0)+IF(AG72&gt;0,AG72-N(AI71),0)</f>
        <v>0</v>
      </c>
    </row>
    <row r="73" customFormat="false" ht="15" hidden="false" customHeight="false" outlineLevel="0" collapsed="false">
      <c r="A73" s="25" t="n">
        <v>68</v>
      </c>
      <c r="B73" s="26" t="n">
        <f aca="false">EDATE('Min gæld'!$C$16,67)</f>
        <v>48427</v>
      </c>
      <c r="C73" s="27" t="n">
        <f aca="false">N('Min gæld'!$C$15)+IF(N(G72)&lt;=0.005,N('Min gæld'!$E$5),0)+IF(N(K72)&lt;=0.005,N('Min gæld'!$E$6),0)+IF(N(O72)&lt;=0.005,N('Min gæld'!$E$7),0)+IF(N(S72)&lt;=0.005,N('Min gæld'!$E$8),0)+IF(N(W72)&lt;=0.005,N('Min gæld'!$E$9),0)+IF(N(AA72)&lt;=0.005,N('Min gæld'!$E$10),0)+IF(N(AE72)&lt;=0.005,N('Min gæld'!$E$11),0)+IF(N(AI72)&lt;=0.005,N('Min gæld'!$E$12),0)</f>
        <v>4800</v>
      </c>
      <c r="D73" s="27" t="n">
        <f aca="false">MAX(0,C73)</f>
        <v>4800</v>
      </c>
      <c r="E73" s="27" t="n">
        <f aca="false">IF(N(G72)&lt;=0.005,0,N(G72)*(1+N('Min gæld'!$D$5)/12))</f>
        <v>0</v>
      </c>
      <c r="F73" s="27" t="n">
        <f aca="false">IF(E73&lt;=0,0,MIN(E73,N('Min gæld'!$E$5)+D73))</f>
        <v>0</v>
      </c>
      <c r="G73" s="27" t="n">
        <f aca="false">IF(E73-F73&lt;0.005,0,E73-F73)</f>
        <v>0</v>
      </c>
      <c r="H73" s="27" t="n">
        <f aca="false">MAX(0,IF(N(G72)&lt;=0.005,D73,D73+N('Min gæld'!$E$5)-F73))</f>
        <v>4800</v>
      </c>
      <c r="I73" s="27" t="n">
        <f aca="false">IF(N(K72)&lt;=0.005,0,N(K72)*(1+N('Min gæld'!$D$6)/12))</f>
        <v>0</v>
      </c>
      <c r="J73" s="27" t="n">
        <f aca="false">IF(I73&lt;=0,0,MIN(I73,N('Min gæld'!$E$6)+H73))</f>
        <v>0</v>
      </c>
      <c r="K73" s="27" t="n">
        <f aca="false">IF(I73-J73&lt;0.005,0,I73-J73)</f>
        <v>0</v>
      </c>
      <c r="L73" s="27" t="n">
        <f aca="false">MAX(0,IF(N(K72)&lt;=0.005,H73,H73+N('Min gæld'!$E$6)-J73))</f>
        <v>4800</v>
      </c>
      <c r="M73" s="27" t="n">
        <f aca="false">IF(N(O72)&lt;=0.005,0,N(O72)*(1+N('Min gæld'!$D$7)/12))</f>
        <v>0</v>
      </c>
      <c r="N73" s="27" t="n">
        <f aca="false">IF(M73&lt;=0,0,MIN(M73,N('Min gæld'!$E$7)+L73))</f>
        <v>0</v>
      </c>
      <c r="O73" s="27" t="n">
        <f aca="false">IF(M73-N73&lt;0.005,0,M73-N73)</f>
        <v>0</v>
      </c>
      <c r="P73" s="27" t="n">
        <f aca="false">MAX(0,IF(N(O72)&lt;=0.005,L73,L73+N('Min gæld'!$E$7)-N73))</f>
        <v>4800</v>
      </c>
      <c r="Q73" s="27" t="n">
        <f aca="false">IF(N(S72)&lt;=0.005,0,N(S72)*(1+N('Min gæld'!$D$8)/12))</f>
        <v>0</v>
      </c>
      <c r="R73" s="27" t="n">
        <f aca="false">IF(Q73&lt;=0,0,MIN(Q73,N('Min gæld'!$E$8)+P73))</f>
        <v>0</v>
      </c>
      <c r="S73" s="27" t="n">
        <f aca="false">IF(Q73-R73&lt;0.005,0,Q73-R73)</f>
        <v>0</v>
      </c>
      <c r="T73" s="27" t="n">
        <f aca="false">MAX(0,IF(N(S72)&lt;=0.005,P73,P73+N('Min gæld'!$E$8)-R73))</f>
        <v>4800</v>
      </c>
      <c r="U73" s="27" t="n">
        <f aca="false">IF(N(W72)&lt;=0.005,0,N(W72)*(1+N('Min gæld'!$D$9)/12))</f>
        <v>0</v>
      </c>
      <c r="V73" s="27" t="n">
        <f aca="false">IF(U73&lt;=0,0,MIN(U73,N('Min gæld'!$E$9)+T73))</f>
        <v>0</v>
      </c>
      <c r="W73" s="27" t="n">
        <f aca="false">IF(U73-V73&lt;0.005,0,U73-V73)</f>
        <v>0</v>
      </c>
      <c r="X73" s="27" t="n">
        <f aca="false">MAX(0,IF(N(W72)&lt;=0.005,T73,T73+N('Min gæld'!$E$9)-V73))</f>
        <v>4800</v>
      </c>
      <c r="Y73" s="27" t="n">
        <f aca="false">IF(N(AA72)&lt;=0.005,0,N(AA72)*(1+N('Min gæld'!$D$10)/12))</f>
        <v>0</v>
      </c>
      <c r="Z73" s="27" t="n">
        <f aca="false">IF(Y73&lt;=0,0,MIN(Y73,N('Min gæld'!$E$10)+X73))</f>
        <v>0</v>
      </c>
      <c r="AA73" s="27" t="n">
        <f aca="false">IF(Y73-Z73&lt;0.005,0,Y73-Z73)</f>
        <v>0</v>
      </c>
      <c r="AB73" s="27" t="n">
        <f aca="false">MAX(0,IF(N(AA72)&lt;=0.005,X73,X73+N('Min gæld'!$E$10)-Z73))</f>
        <v>4800</v>
      </c>
      <c r="AC73" s="27" t="n">
        <f aca="false">IF(N(AE72)&lt;=0.005,0,N(AE72)*(1+N('Min gæld'!$D$11)/12))</f>
        <v>0</v>
      </c>
      <c r="AD73" s="27" t="n">
        <f aca="false">IF(AC73&lt;=0,0,MIN(AC73,N('Min gæld'!$E$11)+AB73))</f>
        <v>0</v>
      </c>
      <c r="AE73" s="27" t="n">
        <f aca="false">IF(AC73-AD73&lt;0.005,0,AC73-AD73)</f>
        <v>0</v>
      </c>
      <c r="AF73" s="27" t="n">
        <f aca="false">MAX(0,IF(N(AE72)&lt;=0.005,AB73,AB73+N('Min gæld'!$E$11)-AD73))</f>
        <v>4800</v>
      </c>
      <c r="AG73" s="27" t="n">
        <f aca="false">IF(N(AI72)&lt;=0.005,0,N(AI72)*(1+N('Min gæld'!$D$12)/12))</f>
        <v>0</v>
      </c>
      <c r="AH73" s="27" t="n">
        <f aca="false">IF(AG73&lt;=0,0,MIN(AG73,N('Min gæld'!$E$12)+AF73))</f>
        <v>0</v>
      </c>
      <c r="AI73" s="27" t="n">
        <f aca="false">IF(AG73-AH73&lt;0.005,0,AG73-AH73)</f>
        <v>0</v>
      </c>
      <c r="AJ73" s="27" t="n">
        <f aca="false">G73+K73+O73+S73+W73+AA73+AE73+AI73</f>
        <v>0</v>
      </c>
      <c r="AK73" s="28" t="n">
        <f aca="false">IF(E73&gt;0,E73-N(G72),0)+IF(I73&gt;0,I73-N(K72),0)+IF(M73&gt;0,M73-N(O72),0)+IF(Q73&gt;0,Q73-N(S72),0)+IF(U73&gt;0,U73-N(W72),0)+IF(Y73&gt;0,Y73-N(AA72),0)+IF(AC73&gt;0,AC73-N(AE72),0)+IF(AG73&gt;0,AG73-N(AI72),0)</f>
        <v>0</v>
      </c>
    </row>
    <row r="74" customFormat="false" ht="15" hidden="false" customHeight="false" outlineLevel="0" collapsed="false">
      <c r="A74" s="25" t="n">
        <v>69</v>
      </c>
      <c r="B74" s="26" t="n">
        <f aca="false">EDATE('Min gæld'!$C$16,68)</f>
        <v>48458</v>
      </c>
      <c r="C74" s="27" t="n">
        <f aca="false">N('Min gæld'!$C$15)+IF(N(G73)&lt;=0.005,N('Min gæld'!$E$5),0)+IF(N(K73)&lt;=0.005,N('Min gæld'!$E$6),0)+IF(N(O73)&lt;=0.005,N('Min gæld'!$E$7),0)+IF(N(S73)&lt;=0.005,N('Min gæld'!$E$8),0)+IF(N(W73)&lt;=0.005,N('Min gæld'!$E$9),0)+IF(N(AA73)&lt;=0.005,N('Min gæld'!$E$10),0)+IF(N(AE73)&lt;=0.005,N('Min gæld'!$E$11),0)+IF(N(AI73)&lt;=0.005,N('Min gæld'!$E$12),0)</f>
        <v>4800</v>
      </c>
      <c r="D74" s="27" t="n">
        <f aca="false">MAX(0,C74)</f>
        <v>4800</v>
      </c>
      <c r="E74" s="27" t="n">
        <f aca="false">IF(N(G73)&lt;=0.005,0,N(G73)*(1+N('Min gæld'!$D$5)/12))</f>
        <v>0</v>
      </c>
      <c r="F74" s="27" t="n">
        <f aca="false">IF(E74&lt;=0,0,MIN(E74,N('Min gæld'!$E$5)+D74))</f>
        <v>0</v>
      </c>
      <c r="G74" s="27" t="n">
        <f aca="false">IF(E74-F74&lt;0.005,0,E74-F74)</f>
        <v>0</v>
      </c>
      <c r="H74" s="27" t="n">
        <f aca="false">MAX(0,IF(N(G73)&lt;=0.005,D74,D74+N('Min gæld'!$E$5)-F74))</f>
        <v>4800</v>
      </c>
      <c r="I74" s="27" t="n">
        <f aca="false">IF(N(K73)&lt;=0.005,0,N(K73)*(1+N('Min gæld'!$D$6)/12))</f>
        <v>0</v>
      </c>
      <c r="J74" s="27" t="n">
        <f aca="false">IF(I74&lt;=0,0,MIN(I74,N('Min gæld'!$E$6)+H74))</f>
        <v>0</v>
      </c>
      <c r="K74" s="27" t="n">
        <f aca="false">IF(I74-J74&lt;0.005,0,I74-J74)</f>
        <v>0</v>
      </c>
      <c r="L74" s="27" t="n">
        <f aca="false">MAX(0,IF(N(K73)&lt;=0.005,H74,H74+N('Min gæld'!$E$6)-J74))</f>
        <v>4800</v>
      </c>
      <c r="M74" s="27" t="n">
        <f aca="false">IF(N(O73)&lt;=0.005,0,N(O73)*(1+N('Min gæld'!$D$7)/12))</f>
        <v>0</v>
      </c>
      <c r="N74" s="27" t="n">
        <f aca="false">IF(M74&lt;=0,0,MIN(M74,N('Min gæld'!$E$7)+L74))</f>
        <v>0</v>
      </c>
      <c r="O74" s="27" t="n">
        <f aca="false">IF(M74-N74&lt;0.005,0,M74-N74)</f>
        <v>0</v>
      </c>
      <c r="P74" s="27" t="n">
        <f aca="false">MAX(0,IF(N(O73)&lt;=0.005,L74,L74+N('Min gæld'!$E$7)-N74))</f>
        <v>4800</v>
      </c>
      <c r="Q74" s="27" t="n">
        <f aca="false">IF(N(S73)&lt;=0.005,0,N(S73)*(1+N('Min gæld'!$D$8)/12))</f>
        <v>0</v>
      </c>
      <c r="R74" s="27" t="n">
        <f aca="false">IF(Q74&lt;=0,0,MIN(Q74,N('Min gæld'!$E$8)+P74))</f>
        <v>0</v>
      </c>
      <c r="S74" s="27" t="n">
        <f aca="false">IF(Q74-R74&lt;0.005,0,Q74-R74)</f>
        <v>0</v>
      </c>
      <c r="T74" s="27" t="n">
        <f aca="false">MAX(0,IF(N(S73)&lt;=0.005,P74,P74+N('Min gæld'!$E$8)-R74))</f>
        <v>4800</v>
      </c>
      <c r="U74" s="27" t="n">
        <f aca="false">IF(N(W73)&lt;=0.005,0,N(W73)*(1+N('Min gæld'!$D$9)/12))</f>
        <v>0</v>
      </c>
      <c r="V74" s="27" t="n">
        <f aca="false">IF(U74&lt;=0,0,MIN(U74,N('Min gæld'!$E$9)+T74))</f>
        <v>0</v>
      </c>
      <c r="W74" s="27" t="n">
        <f aca="false">IF(U74-V74&lt;0.005,0,U74-V74)</f>
        <v>0</v>
      </c>
      <c r="X74" s="27" t="n">
        <f aca="false">MAX(0,IF(N(W73)&lt;=0.005,T74,T74+N('Min gæld'!$E$9)-V74))</f>
        <v>4800</v>
      </c>
      <c r="Y74" s="27" t="n">
        <f aca="false">IF(N(AA73)&lt;=0.005,0,N(AA73)*(1+N('Min gæld'!$D$10)/12))</f>
        <v>0</v>
      </c>
      <c r="Z74" s="27" t="n">
        <f aca="false">IF(Y74&lt;=0,0,MIN(Y74,N('Min gæld'!$E$10)+X74))</f>
        <v>0</v>
      </c>
      <c r="AA74" s="27" t="n">
        <f aca="false">IF(Y74-Z74&lt;0.005,0,Y74-Z74)</f>
        <v>0</v>
      </c>
      <c r="AB74" s="27" t="n">
        <f aca="false">MAX(0,IF(N(AA73)&lt;=0.005,X74,X74+N('Min gæld'!$E$10)-Z74))</f>
        <v>4800</v>
      </c>
      <c r="AC74" s="27" t="n">
        <f aca="false">IF(N(AE73)&lt;=0.005,0,N(AE73)*(1+N('Min gæld'!$D$11)/12))</f>
        <v>0</v>
      </c>
      <c r="AD74" s="27" t="n">
        <f aca="false">IF(AC74&lt;=0,0,MIN(AC74,N('Min gæld'!$E$11)+AB74))</f>
        <v>0</v>
      </c>
      <c r="AE74" s="27" t="n">
        <f aca="false">IF(AC74-AD74&lt;0.005,0,AC74-AD74)</f>
        <v>0</v>
      </c>
      <c r="AF74" s="27" t="n">
        <f aca="false">MAX(0,IF(N(AE73)&lt;=0.005,AB74,AB74+N('Min gæld'!$E$11)-AD74))</f>
        <v>4800</v>
      </c>
      <c r="AG74" s="27" t="n">
        <f aca="false">IF(N(AI73)&lt;=0.005,0,N(AI73)*(1+N('Min gæld'!$D$12)/12))</f>
        <v>0</v>
      </c>
      <c r="AH74" s="27" t="n">
        <f aca="false">IF(AG74&lt;=0,0,MIN(AG74,N('Min gæld'!$E$12)+AF74))</f>
        <v>0</v>
      </c>
      <c r="AI74" s="27" t="n">
        <f aca="false">IF(AG74-AH74&lt;0.005,0,AG74-AH74)</f>
        <v>0</v>
      </c>
      <c r="AJ74" s="27" t="n">
        <f aca="false">G74+K74+O74+S74+W74+AA74+AE74+AI74</f>
        <v>0</v>
      </c>
      <c r="AK74" s="28" t="n">
        <f aca="false">IF(E74&gt;0,E74-N(G73),0)+IF(I74&gt;0,I74-N(K73),0)+IF(M74&gt;0,M74-N(O73),0)+IF(Q74&gt;0,Q74-N(S73),0)+IF(U74&gt;0,U74-N(W73),0)+IF(Y74&gt;0,Y74-N(AA73),0)+IF(AC74&gt;0,AC74-N(AE73),0)+IF(AG74&gt;0,AG74-N(AI73),0)</f>
        <v>0</v>
      </c>
    </row>
    <row r="75" customFormat="false" ht="15" hidden="false" customHeight="false" outlineLevel="0" collapsed="false">
      <c r="A75" s="25" t="n">
        <v>70</v>
      </c>
      <c r="B75" s="26" t="n">
        <f aca="false">EDATE('Min gæld'!$C$16,69)</f>
        <v>48488</v>
      </c>
      <c r="C75" s="27" t="n">
        <f aca="false">N('Min gæld'!$C$15)+IF(N(G74)&lt;=0.005,N('Min gæld'!$E$5),0)+IF(N(K74)&lt;=0.005,N('Min gæld'!$E$6),0)+IF(N(O74)&lt;=0.005,N('Min gæld'!$E$7),0)+IF(N(S74)&lt;=0.005,N('Min gæld'!$E$8),0)+IF(N(W74)&lt;=0.005,N('Min gæld'!$E$9),0)+IF(N(AA74)&lt;=0.005,N('Min gæld'!$E$10),0)+IF(N(AE74)&lt;=0.005,N('Min gæld'!$E$11),0)+IF(N(AI74)&lt;=0.005,N('Min gæld'!$E$12),0)</f>
        <v>4800</v>
      </c>
      <c r="D75" s="27" t="n">
        <f aca="false">MAX(0,C75)</f>
        <v>4800</v>
      </c>
      <c r="E75" s="27" t="n">
        <f aca="false">IF(N(G74)&lt;=0.005,0,N(G74)*(1+N('Min gæld'!$D$5)/12))</f>
        <v>0</v>
      </c>
      <c r="F75" s="27" t="n">
        <f aca="false">IF(E75&lt;=0,0,MIN(E75,N('Min gæld'!$E$5)+D75))</f>
        <v>0</v>
      </c>
      <c r="G75" s="27" t="n">
        <f aca="false">IF(E75-F75&lt;0.005,0,E75-F75)</f>
        <v>0</v>
      </c>
      <c r="H75" s="27" t="n">
        <f aca="false">MAX(0,IF(N(G74)&lt;=0.005,D75,D75+N('Min gæld'!$E$5)-F75))</f>
        <v>4800</v>
      </c>
      <c r="I75" s="27" t="n">
        <f aca="false">IF(N(K74)&lt;=0.005,0,N(K74)*(1+N('Min gæld'!$D$6)/12))</f>
        <v>0</v>
      </c>
      <c r="J75" s="27" t="n">
        <f aca="false">IF(I75&lt;=0,0,MIN(I75,N('Min gæld'!$E$6)+H75))</f>
        <v>0</v>
      </c>
      <c r="K75" s="27" t="n">
        <f aca="false">IF(I75-J75&lt;0.005,0,I75-J75)</f>
        <v>0</v>
      </c>
      <c r="L75" s="27" t="n">
        <f aca="false">MAX(0,IF(N(K74)&lt;=0.005,H75,H75+N('Min gæld'!$E$6)-J75))</f>
        <v>4800</v>
      </c>
      <c r="M75" s="27" t="n">
        <f aca="false">IF(N(O74)&lt;=0.005,0,N(O74)*(1+N('Min gæld'!$D$7)/12))</f>
        <v>0</v>
      </c>
      <c r="N75" s="27" t="n">
        <f aca="false">IF(M75&lt;=0,0,MIN(M75,N('Min gæld'!$E$7)+L75))</f>
        <v>0</v>
      </c>
      <c r="O75" s="27" t="n">
        <f aca="false">IF(M75-N75&lt;0.005,0,M75-N75)</f>
        <v>0</v>
      </c>
      <c r="P75" s="27" t="n">
        <f aca="false">MAX(0,IF(N(O74)&lt;=0.005,L75,L75+N('Min gæld'!$E$7)-N75))</f>
        <v>4800</v>
      </c>
      <c r="Q75" s="27" t="n">
        <f aca="false">IF(N(S74)&lt;=0.005,0,N(S74)*(1+N('Min gæld'!$D$8)/12))</f>
        <v>0</v>
      </c>
      <c r="R75" s="27" t="n">
        <f aca="false">IF(Q75&lt;=0,0,MIN(Q75,N('Min gæld'!$E$8)+P75))</f>
        <v>0</v>
      </c>
      <c r="S75" s="27" t="n">
        <f aca="false">IF(Q75-R75&lt;0.005,0,Q75-R75)</f>
        <v>0</v>
      </c>
      <c r="T75" s="27" t="n">
        <f aca="false">MAX(0,IF(N(S74)&lt;=0.005,P75,P75+N('Min gæld'!$E$8)-R75))</f>
        <v>4800</v>
      </c>
      <c r="U75" s="27" t="n">
        <f aca="false">IF(N(W74)&lt;=0.005,0,N(W74)*(1+N('Min gæld'!$D$9)/12))</f>
        <v>0</v>
      </c>
      <c r="V75" s="27" t="n">
        <f aca="false">IF(U75&lt;=0,0,MIN(U75,N('Min gæld'!$E$9)+T75))</f>
        <v>0</v>
      </c>
      <c r="W75" s="27" t="n">
        <f aca="false">IF(U75-V75&lt;0.005,0,U75-V75)</f>
        <v>0</v>
      </c>
      <c r="X75" s="27" t="n">
        <f aca="false">MAX(0,IF(N(W74)&lt;=0.005,T75,T75+N('Min gæld'!$E$9)-V75))</f>
        <v>4800</v>
      </c>
      <c r="Y75" s="27" t="n">
        <f aca="false">IF(N(AA74)&lt;=0.005,0,N(AA74)*(1+N('Min gæld'!$D$10)/12))</f>
        <v>0</v>
      </c>
      <c r="Z75" s="27" t="n">
        <f aca="false">IF(Y75&lt;=0,0,MIN(Y75,N('Min gæld'!$E$10)+X75))</f>
        <v>0</v>
      </c>
      <c r="AA75" s="27" t="n">
        <f aca="false">IF(Y75-Z75&lt;0.005,0,Y75-Z75)</f>
        <v>0</v>
      </c>
      <c r="AB75" s="27" t="n">
        <f aca="false">MAX(0,IF(N(AA74)&lt;=0.005,X75,X75+N('Min gæld'!$E$10)-Z75))</f>
        <v>4800</v>
      </c>
      <c r="AC75" s="27" t="n">
        <f aca="false">IF(N(AE74)&lt;=0.005,0,N(AE74)*(1+N('Min gæld'!$D$11)/12))</f>
        <v>0</v>
      </c>
      <c r="AD75" s="27" t="n">
        <f aca="false">IF(AC75&lt;=0,0,MIN(AC75,N('Min gæld'!$E$11)+AB75))</f>
        <v>0</v>
      </c>
      <c r="AE75" s="27" t="n">
        <f aca="false">IF(AC75-AD75&lt;0.005,0,AC75-AD75)</f>
        <v>0</v>
      </c>
      <c r="AF75" s="27" t="n">
        <f aca="false">MAX(0,IF(N(AE74)&lt;=0.005,AB75,AB75+N('Min gæld'!$E$11)-AD75))</f>
        <v>4800</v>
      </c>
      <c r="AG75" s="27" t="n">
        <f aca="false">IF(N(AI74)&lt;=0.005,0,N(AI74)*(1+N('Min gæld'!$D$12)/12))</f>
        <v>0</v>
      </c>
      <c r="AH75" s="27" t="n">
        <f aca="false">IF(AG75&lt;=0,0,MIN(AG75,N('Min gæld'!$E$12)+AF75))</f>
        <v>0</v>
      </c>
      <c r="AI75" s="27" t="n">
        <f aca="false">IF(AG75-AH75&lt;0.005,0,AG75-AH75)</f>
        <v>0</v>
      </c>
      <c r="AJ75" s="27" t="n">
        <f aca="false">G75+K75+O75+S75+W75+AA75+AE75+AI75</f>
        <v>0</v>
      </c>
      <c r="AK75" s="28" t="n">
        <f aca="false">IF(E75&gt;0,E75-N(G74),0)+IF(I75&gt;0,I75-N(K74),0)+IF(M75&gt;0,M75-N(O74),0)+IF(Q75&gt;0,Q75-N(S74),0)+IF(U75&gt;0,U75-N(W74),0)+IF(Y75&gt;0,Y75-N(AA74),0)+IF(AC75&gt;0,AC75-N(AE74),0)+IF(AG75&gt;0,AG75-N(AI74),0)</f>
        <v>0</v>
      </c>
    </row>
    <row r="76" customFormat="false" ht="15" hidden="false" customHeight="false" outlineLevel="0" collapsed="false">
      <c r="A76" s="25" t="n">
        <v>71</v>
      </c>
      <c r="B76" s="26" t="n">
        <f aca="false">EDATE('Min gæld'!$C$16,70)</f>
        <v>48519</v>
      </c>
      <c r="C76" s="27" t="n">
        <f aca="false">N('Min gæld'!$C$15)+IF(N(G75)&lt;=0.005,N('Min gæld'!$E$5),0)+IF(N(K75)&lt;=0.005,N('Min gæld'!$E$6),0)+IF(N(O75)&lt;=0.005,N('Min gæld'!$E$7),0)+IF(N(S75)&lt;=0.005,N('Min gæld'!$E$8),0)+IF(N(W75)&lt;=0.005,N('Min gæld'!$E$9),0)+IF(N(AA75)&lt;=0.005,N('Min gæld'!$E$10),0)+IF(N(AE75)&lt;=0.005,N('Min gæld'!$E$11),0)+IF(N(AI75)&lt;=0.005,N('Min gæld'!$E$12),0)</f>
        <v>4800</v>
      </c>
      <c r="D76" s="27" t="n">
        <f aca="false">MAX(0,C76)</f>
        <v>4800</v>
      </c>
      <c r="E76" s="27" t="n">
        <f aca="false">IF(N(G75)&lt;=0.005,0,N(G75)*(1+N('Min gæld'!$D$5)/12))</f>
        <v>0</v>
      </c>
      <c r="F76" s="27" t="n">
        <f aca="false">IF(E76&lt;=0,0,MIN(E76,N('Min gæld'!$E$5)+D76))</f>
        <v>0</v>
      </c>
      <c r="G76" s="27" t="n">
        <f aca="false">IF(E76-F76&lt;0.005,0,E76-F76)</f>
        <v>0</v>
      </c>
      <c r="H76" s="27" t="n">
        <f aca="false">MAX(0,IF(N(G75)&lt;=0.005,D76,D76+N('Min gæld'!$E$5)-F76))</f>
        <v>4800</v>
      </c>
      <c r="I76" s="27" t="n">
        <f aca="false">IF(N(K75)&lt;=0.005,0,N(K75)*(1+N('Min gæld'!$D$6)/12))</f>
        <v>0</v>
      </c>
      <c r="J76" s="27" t="n">
        <f aca="false">IF(I76&lt;=0,0,MIN(I76,N('Min gæld'!$E$6)+H76))</f>
        <v>0</v>
      </c>
      <c r="K76" s="27" t="n">
        <f aca="false">IF(I76-J76&lt;0.005,0,I76-J76)</f>
        <v>0</v>
      </c>
      <c r="L76" s="27" t="n">
        <f aca="false">MAX(0,IF(N(K75)&lt;=0.005,H76,H76+N('Min gæld'!$E$6)-J76))</f>
        <v>4800</v>
      </c>
      <c r="M76" s="27" t="n">
        <f aca="false">IF(N(O75)&lt;=0.005,0,N(O75)*(1+N('Min gæld'!$D$7)/12))</f>
        <v>0</v>
      </c>
      <c r="N76" s="27" t="n">
        <f aca="false">IF(M76&lt;=0,0,MIN(M76,N('Min gæld'!$E$7)+L76))</f>
        <v>0</v>
      </c>
      <c r="O76" s="27" t="n">
        <f aca="false">IF(M76-N76&lt;0.005,0,M76-N76)</f>
        <v>0</v>
      </c>
      <c r="P76" s="27" t="n">
        <f aca="false">MAX(0,IF(N(O75)&lt;=0.005,L76,L76+N('Min gæld'!$E$7)-N76))</f>
        <v>4800</v>
      </c>
      <c r="Q76" s="27" t="n">
        <f aca="false">IF(N(S75)&lt;=0.005,0,N(S75)*(1+N('Min gæld'!$D$8)/12))</f>
        <v>0</v>
      </c>
      <c r="R76" s="27" t="n">
        <f aca="false">IF(Q76&lt;=0,0,MIN(Q76,N('Min gæld'!$E$8)+P76))</f>
        <v>0</v>
      </c>
      <c r="S76" s="27" t="n">
        <f aca="false">IF(Q76-R76&lt;0.005,0,Q76-R76)</f>
        <v>0</v>
      </c>
      <c r="T76" s="27" t="n">
        <f aca="false">MAX(0,IF(N(S75)&lt;=0.005,P76,P76+N('Min gæld'!$E$8)-R76))</f>
        <v>4800</v>
      </c>
      <c r="U76" s="27" t="n">
        <f aca="false">IF(N(W75)&lt;=0.005,0,N(W75)*(1+N('Min gæld'!$D$9)/12))</f>
        <v>0</v>
      </c>
      <c r="V76" s="27" t="n">
        <f aca="false">IF(U76&lt;=0,0,MIN(U76,N('Min gæld'!$E$9)+T76))</f>
        <v>0</v>
      </c>
      <c r="W76" s="27" t="n">
        <f aca="false">IF(U76-V76&lt;0.005,0,U76-V76)</f>
        <v>0</v>
      </c>
      <c r="X76" s="27" t="n">
        <f aca="false">MAX(0,IF(N(W75)&lt;=0.005,T76,T76+N('Min gæld'!$E$9)-V76))</f>
        <v>4800</v>
      </c>
      <c r="Y76" s="27" t="n">
        <f aca="false">IF(N(AA75)&lt;=0.005,0,N(AA75)*(1+N('Min gæld'!$D$10)/12))</f>
        <v>0</v>
      </c>
      <c r="Z76" s="27" t="n">
        <f aca="false">IF(Y76&lt;=0,0,MIN(Y76,N('Min gæld'!$E$10)+X76))</f>
        <v>0</v>
      </c>
      <c r="AA76" s="27" t="n">
        <f aca="false">IF(Y76-Z76&lt;0.005,0,Y76-Z76)</f>
        <v>0</v>
      </c>
      <c r="AB76" s="27" t="n">
        <f aca="false">MAX(0,IF(N(AA75)&lt;=0.005,X76,X76+N('Min gæld'!$E$10)-Z76))</f>
        <v>4800</v>
      </c>
      <c r="AC76" s="27" t="n">
        <f aca="false">IF(N(AE75)&lt;=0.005,0,N(AE75)*(1+N('Min gæld'!$D$11)/12))</f>
        <v>0</v>
      </c>
      <c r="AD76" s="27" t="n">
        <f aca="false">IF(AC76&lt;=0,0,MIN(AC76,N('Min gæld'!$E$11)+AB76))</f>
        <v>0</v>
      </c>
      <c r="AE76" s="27" t="n">
        <f aca="false">IF(AC76-AD76&lt;0.005,0,AC76-AD76)</f>
        <v>0</v>
      </c>
      <c r="AF76" s="27" t="n">
        <f aca="false">MAX(0,IF(N(AE75)&lt;=0.005,AB76,AB76+N('Min gæld'!$E$11)-AD76))</f>
        <v>4800</v>
      </c>
      <c r="AG76" s="27" t="n">
        <f aca="false">IF(N(AI75)&lt;=0.005,0,N(AI75)*(1+N('Min gæld'!$D$12)/12))</f>
        <v>0</v>
      </c>
      <c r="AH76" s="27" t="n">
        <f aca="false">IF(AG76&lt;=0,0,MIN(AG76,N('Min gæld'!$E$12)+AF76))</f>
        <v>0</v>
      </c>
      <c r="AI76" s="27" t="n">
        <f aca="false">IF(AG76-AH76&lt;0.005,0,AG76-AH76)</f>
        <v>0</v>
      </c>
      <c r="AJ76" s="27" t="n">
        <f aca="false">G76+K76+O76+S76+W76+AA76+AE76+AI76</f>
        <v>0</v>
      </c>
      <c r="AK76" s="28" t="n">
        <f aca="false">IF(E76&gt;0,E76-N(G75),0)+IF(I76&gt;0,I76-N(K75),0)+IF(M76&gt;0,M76-N(O75),0)+IF(Q76&gt;0,Q76-N(S75),0)+IF(U76&gt;0,U76-N(W75),0)+IF(Y76&gt;0,Y76-N(AA75),0)+IF(AC76&gt;0,AC76-N(AE75),0)+IF(AG76&gt;0,AG76-N(AI75),0)</f>
        <v>0</v>
      </c>
    </row>
    <row r="77" customFormat="false" ht="15" hidden="false" customHeight="false" outlineLevel="0" collapsed="false">
      <c r="A77" s="25" t="n">
        <v>72</v>
      </c>
      <c r="B77" s="26" t="n">
        <f aca="false">EDATE('Min gæld'!$C$16,71)</f>
        <v>48549</v>
      </c>
      <c r="C77" s="27" t="n">
        <f aca="false">N('Min gæld'!$C$15)+IF(N(G76)&lt;=0.005,N('Min gæld'!$E$5),0)+IF(N(K76)&lt;=0.005,N('Min gæld'!$E$6),0)+IF(N(O76)&lt;=0.005,N('Min gæld'!$E$7),0)+IF(N(S76)&lt;=0.005,N('Min gæld'!$E$8),0)+IF(N(W76)&lt;=0.005,N('Min gæld'!$E$9),0)+IF(N(AA76)&lt;=0.005,N('Min gæld'!$E$10),0)+IF(N(AE76)&lt;=0.005,N('Min gæld'!$E$11),0)+IF(N(AI76)&lt;=0.005,N('Min gæld'!$E$12),0)</f>
        <v>4800</v>
      </c>
      <c r="D77" s="27" t="n">
        <f aca="false">MAX(0,C77)</f>
        <v>4800</v>
      </c>
      <c r="E77" s="27" t="n">
        <f aca="false">IF(N(G76)&lt;=0.005,0,N(G76)*(1+N('Min gæld'!$D$5)/12))</f>
        <v>0</v>
      </c>
      <c r="F77" s="27" t="n">
        <f aca="false">IF(E77&lt;=0,0,MIN(E77,N('Min gæld'!$E$5)+D77))</f>
        <v>0</v>
      </c>
      <c r="G77" s="27" t="n">
        <f aca="false">IF(E77-F77&lt;0.005,0,E77-F77)</f>
        <v>0</v>
      </c>
      <c r="H77" s="27" t="n">
        <f aca="false">MAX(0,IF(N(G76)&lt;=0.005,D77,D77+N('Min gæld'!$E$5)-F77))</f>
        <v>4800</v>
      </c>
      <c r="I77" s="27" t="n">
        <f aca="false">IF(N(K76)&lt;=0.005,0,N(K76)*(1+N('Min gæld'!$D$6)/12))</f>
        <v>0</v>
      </c>
      <c r="J77" s="27" t="n">
        <f aca="false">IF(I77&lt;=0,0,MIN(I77,N('Min gæld'!$E$6)+H77))</f>
        <v>0</v>
      </c>
      <c r="K77" s="27" t="n">
        <f aca="false">IF(I77-J77&lt;0.005,0,I77-J77)</f>
        <v>0</v>
      </c>
      <c r="L77" s="27" t="n">
        <f aca="false">MAX(0,IF(N(K76)&lt;=0.005,H77,H77+N('Min gæld'!$E$6)-J77))</f>
        <v>4800</v>
      </c>
      <c r="M77" s="27" t="n">
        <f aca="false">IF(N(O76)&lt;=0.005,0,N(O76)*(1+N('Min gæld'!$D$7)/12))</f>
        <v>0</v>
      </c>
      <c r="N77" s="27" t="n">
        <f aca="false">IF(M77&lt;=0,0,MIN(M77,N('Min gæld'!$E$7)+L77))</f>
        <v>0</v>
      </c>
      <c r="O77" s="27" t="n">
        <f aca="false">IF(M77-N77&lt;0.005,0,M77-N77)</f>
        <v>0</v>
      </c>
      <c r="P77" s="27" t="n">
        <f aca="false">MAX(0,IF(N(O76)&lt;=0.005,L77,L77+N('Min gæld'!$E$7)-N77))</f>
        <v>4800</v>
      </c>
      <c r="Q77" s="27" t="n">
        <f aca="false">IF(N(S76)&lt;=0.005,0,N(S76)*(1+N('Min gæld'!$D$8)/12))</f>
        <v>0</v>
      </c>
      <c r="R77" s="27" t="n">
        <f aca="false">IF(Q77&lt;=0,0,MIN(Q77,N('Min gæld'!$E$8)+P77))</f>
        <v>0</v>
      </c>
      <c r="S77" s="27" t="n">
        <f aca="false">IF(Q77-R77&lt;0.005,0,Q77-R77)</f>
        <v>0</v>
      </c>
      <c r="T77" s="27" t="n">
        <f aca="false">MAX(0,IF(N(S76)&lt;=0.005,P77,P77+N('Min gæld'!$E$8)-R77))</f>
        <v>4800</v>
      </c>
      <c r="U77" s="27" t="n">
        <f aca="false">IF(N(W76)&lt;=0.005,0,N(W76)*(1+N('Min gæld'!$D$9)/12))</f>
        <v>0</v>
      </c>
      <c r="V77" s="27" t="n">
        <f aca="false">IF(U77&lt;=0,0,MIN(U77,N('Min gæld'!$E$9)+T77))</f>
        <v>0</v>
      </c>
      <c r="W77" s="27" t="n">
        <f aca="false">IF(U77-V77&lt;0.005,0,U77-V77)</f>
        <v>0</v>
      </c>
      <c r="X77" s="27" t="n">
        <f aca="false">MAX(0,IF(N(W76)&lt;=0.005,T77,T77+N('Min gæld'!$E$9)-V77))</f>
        <v>4800</v>
      </c>
      <c r="Y77" s="27" t="n">
        <f aca="false">IF(N(AA76)&lt;=0.005,0,N(AA76)*(1+N('Min gæld'!$D$10)/12))</f>
        <v>0</v>
      </c>
      <c r="Z77" s="27" t="n">
        <f aca="false">IF(Y77&lt;=0,0,MIN(Y77,N('Min gæld'!$E$10)+X77))</f>
        <v>0</v>
      </c>
      <c r="AA77" s="27" t="n">
        <f aca="false">IF(Y77-Z77&lt;0.005,0,Y77-Z77)</f>
        <v>0</v>
      </c>
      <c r="AB77" s="27" t="n">
        <f aca="false">MAX(0,IF(N(AA76)&lt;=0.005,X77,X77+N('Min gæld'!$E$10)-Z77))</f>
        <v>4800</v>
      </c>
      <c r="AC77" s="27" t="n">
        <f aca="false">IF(N(AE76)&lt;=0.005,0,N(AE76)*(1+N('Min gæld'!$D$11)/12))</f>
        <v>0</v>
      </c>
      <c r="AD77" s="27" t="n">
        <f aca="false">IF(AC77&lt;=0,0,MIN(AC77,N('Min gæld'!$E$11)+AB77))</f>
        <v>0</v>
      </c>
      <c r="AE77" s="27" t="n">
        <f aca="false">IF(AC77-AD77&lt;0.005,0,AC77-AD77)</f>
        <v>0</v>
      </c>
      <c r="AF77" s="27" t="n">
        <f aca="false">MAX(0,IF(N(AE76)&lt;=0.005,AB77,AB77+N('Min gæld'!$E$11)-AD77))</f>
        <v>4800</v>
      </c>
      <c r="AG77" s="27" t="n">
        <f aca="false">IF(N(AI76)&lt;=0.005,0,N(AI76)*(1+N('Min gæld'!$D$12)/12))</f>
        <v>0</v>
      </c>
      <c r="AH77" s="27" t="n">
        <f aca="false">IF(AG77&lt;=0,0,MIN(AG77,N('Min gæld'!$E$12)+AF77))</f>
        <v>0</v>
      </c>
      <c r="AI77" s="27" t="n">
        <f aca="false">IF(AG77-AH77&lt;0.005,0,AG77-AH77)</f>
        <v>0</v>
      </c>
      <c r="AJ77" s="27" t="n">
        <f aca="false">G77+K77+O77+S77+W77+AA77+AE77+AI77</f>
        <v>0</v>
      </c>
      <c r="AK77" s="28" t="n">
        <f aca="false">IF(E77&gt;0,E77-N(G76),0)+IF(I77&gt;0,I77-N(K76),0)+IF(M77&gt;0,M77-N(O76),0)+IF(Q77&gt;0,Q77-N(S76),0)+IF(U77&gt;0,U77-N(W76),0)+IF(Y77&gt;0,Y77-N(AA76),0)+IF(AC77&gt;0,AC77-N(AE76),0)+IF(AG77&gt;0,AG77-N(AI76),0)</f>
        <v>0</v>
      </c>
    </row>
    <row r="78" customFormat="false" ht="15" hidden="false" customHeight="false" outlineLevel="0" collapsed="false">
      <c r="A78" s="25" t="n">
        <v>73</v>
      </c>
      <c r="B78" s="26" t="n">
        <f aca="false">EDATE('Min gæld'!$C$16,72)</f>
        <v>48580</v>
      </c>
      <c r="C78" s="27" t="n">
        <f aca="false">N('Min gæld'!$C$15)+IF(N(G77)&lt;=0.005,N('Min gæld'!$E$5),0)+IF(N(K77)&lt;=0.005,N('Min gæld'!$E$6),0)+IF(N(O77)&lt;=0.005,N('Min gæld'!$E$7),0)+IF(N(S77)&lt;=0.005,N('Min gæld'!$E$8),0)+IF(N(W77)&lt;=0.005,N('Min gæld'!$E$9),0)+IF(N(AA77)&lt;=0.005,N('Min gæld'!$E$10),0)+IF(N(AE77)&lt;=0.005,N('Min gæld'!$E$11),0)+IF(N(AI77)&lt;=0.005,N('Min gæld'!$E$12),0)</f>
        <v>4800</v>
      </c>
      <c r="D78" s="27" t="n">
        <f aca="false">MAX(0,C78)</f>
        <v>4800</v>
      </c>
      <c r="E78" s="27" t="n">
        <f aca="false">IF(N(G77)&lt;=0.005,0,N(G77)*(1+N('Min gæld'!$D$5)/12))</f>
        <v>0</v>
      </c>
      <c r="F78" s="27" t="n">
        <f aca="false">IF(E78&lt;=0,0,MIN(E78,N('Min gæld'!$E$5)+D78))</f>
        <v>0</v>
      </c>
      <c r="G78" s="27" t="n">
        <f aca="false">IF(E78-F78&lt;0.005,0,E78-F78)</f>
        <v>0</v>
      </c>
      <c r="H78" s="27" t="n">
        <f aca="false">MAX(0,IF(N(G77)&lt;=0.005,D78,D78+N('Min gæld'!$E$5)-F78))</f>
        <v>4800</v>
      </c>
      <c r="I78" s="27" t="n">
        <f aca="false">IF(N(K77)&lt;=0.005,0,N(K77)*(1+N('Min gæld'!$D$6)/12))</f>
        <v>0</v>
      </c>
      <c r="J78" s="27" t="n">
        <f aca="false">IF(I78&lt;=0,0,MIN(I78,N('Min gæld'!$E$6)+H78))</f>
        <v>0</v>
      </c>
      <c r="K78" s="27" t="n">
        <f aca="false">IF(I78-J78&lt;0.005,0,I78-J78)</f>
        <v>0</v>
      </c>
      <c r="L78" s="27" t="n">
        <f aca="false">MAX(0,IF(N(K77)&lt;=0.005,H78,H78+N('Min gæld'!$E$6)-J78))</f>
        <v>4800</v>
      </c>
      <c r="M78" s="27" t="n">
        <f aca="false">IF(N(O77)&lt;=0.005,0,N(O77)*(1+N('Min gæld'!$D$7)/12))</f>
        <v>0</v>
      </c>
      <c r="N78" s="27" t="n">
        <f aca="false">IF(M78&lt;=0,0,MIN(M78,N('Min gæld'!$E$7)+L78))</f>
        <v>0</v>
      </c>
      <c r="O78" s="27" t="n">
        <f aca="false">IF(M78-N78&lt;0.005,0,M78-N78)</f>
        <v>0</v>
      </c>
      <c r="P78" s="27" t="n">
        <f aca="false">MAX(0,IF(N(O77)&lt;=0.005,L78,L78+N('Min gæld'!$E$7)-N78))</f>
        <v>4800</v>
      </c>
      <c r="Q78" s="27" t="n">
        <f aca="false">IF(N(S77)&lt;=0.005,0,N(S77)*(1+N('Min gæld'!$D$8)/12))</f>
        <v>0</v>
      </c>
      <c r="R78" s="27" t="n">
        <f aca="false">IF(Q78&lt;=0,0,MIN(Q78,N('Min gæld'!$E$8)+P78))</f>
        <v>0</v>
      </c>
      <c r="S78" s="27" t="n">
        <f aca="false">IF(Q78-R78&lt;0.005,0,Q78-R78)</f>
        <v>0</v>
      </c>
      <c r="T78" s="27" t="n">
        <f aca="false">MAX(0,IF(N(S77)&lt;=0.005,P78,P78+N('Min gæld'!$E$8)-R78))</f>
        <v>4800</v>
      </c>
      <c r="U78" s="27" t="n">
        <f aca="false">IF(N(W77)&lt;=0.005,0,N(W77)*(1+N('Min gæld'!$D$9)/12))</f>
        <v>0</v>
      </c>
      <c r="V78" s="27" t="n">
        <f aca="false">IF(U78&lt;=0,0,MIN(U78,N('Min gæld'!$E$9)+T78))</f>
        <v>0</v>
      </c>
      <c r="W78" s="27" t="n">
        <f aca="false">IF(U78-V78&lt;0.005,0,U78-V78)</f>
        <v>0</v>
      </c>
      <c r="X78" s="27" t="n">
        <f aca="false">MAX(0,IF(N(W77)&lt;=0.005,T78,T78+N('Min gæld'!$E$9)-V78))</f>
        <v>4800</v>
      </c>
      <c r="Y78" s="27" t="n">
        <f aca="false">IF(N(AA77)&lt;=0.005,0,N(AA77)*(1+N('Min gæld'!$D$10)/12))</f>
        <v>0</v>
      </c>
      <c r="Z78" s="27" t="n">
        <f aca="false">IF(Y78&lt;=0,0,MIN(Y78,N('Min gæld'!$E$10)+X78))</f>
        <v>0</v>
      </c>
      <c r="AA78" s="27" t="n">
        <f aca="false">IF(Y78-Z78&lt;0.005,0,Y78-Z78)</f>
        <v>0</v>
      </c>
      <c r="AB78" s="27" t="n">
        <f aca="false">MAX(0,IF(N(AA77)&lt;=0.005,X78,X78+N('Min gæld'!$E$10)-Z78))</f>
        <v>4800</v>
      </c>
      <c r="AC78" s="27" t="n">
        <f aca="false">IF(N(AE77)&lt;=0.005,0,N(AE77)*(1+N('Min gæld'!$D$11)/12))</f>
        <v>0</v>
      </c>
      <c r="AD78" s="27" t="n">
        <f aca="false">IF(AC78&lt;=0,0,MIN(AC78,N('Min gæld'!$E$11)+AB78))</f>
        <v>0</v>
      </c>
      <c r="AE78" s="27" t="n">
        <f aca="false">IF(AC78-AD78&lt;0.005,0,AC78-AD78)</f>
        <v>0</v>
      </c>
      <c r="AF78" s="27" t="n">
        <f aca="false">MAX(0,IF(N(AE77)&lt;=0.005,AB78,AB78+N('Min gæld'!$E$11)-AD78))</f>
        <v>4800</v>
      </c>
      <c r="AG78" s="27" t="n">
        <f aca="false">IF(N(AI77)&lt;=0.005,0,N(AI77)*(1+N('Min gæld'!$D$12)/12))</f>
        <v>0</v>
      </c>
      <c r="AH78" s="27" t="n">
        <f aca="false">IF(AG78&lt;=0,0,MIN(AG78,N('Min gæld'!$E$12)+AF78))</f>
        <v>0</v>
      </c>
      <c r="AI78" s="27" t="n">
        <f aca="false">IF(AG78-AH78&lt;0.005,0,AG78-AH78)</f>
        <v>0</v>
      </c>
      <c r="AJ78" s="27" t="n">
        <f aca="false">G78+K78+O78+S78+W78+AA78+AE78+AI78</f>
        <v>0</v>
      </c>
      <c r="AK78" s="28" t="n">
        <f aca="false">IF(E78&gt;0,E78-N(G77),0)+IF(I78&gt;0,I78-N(K77),0)+IF(M78&gt;0,M78-N(O77),0)+IF(Q78&gt;0,Q78-N(S77),0)+IF(U78&gt;0,U78-N(W77),0)+IF(Y78&gt;0,Y78-N(AA77),0)+IF(AC78&gt;0,AC78-N(AE77),0)+IF(AG78&gt;0,AG78-N(AI77),0)</f>
        <v>0</v>
      </c>
    </row>
    <row r="79" customFormat="false" ht="15" hidden="false" customHeight="false" outlineLevel="0" collapsed="false">
      <c r="A79" s="25" t="n">
        <v>74</v>
      </c>
      <c r="B79" s="26" t="n">
        <f aca="false">EDATE('Min gæld'!$C$16,73)</f>
        <v>48611</v>
      </c>
      <c r="C79" s="27" t="n">
        <f aca="false">N('Min gæld'!$C$15)+IF(N(G78)&lt;=0.005,N('Min gæld'!$E$5),0)+IF(N(K78)&lt;=0.005,N('Min gæld'!$E$6),0)+IF(N(O78)&lt;=0.005,N('Min gæld'!$E$7),0)+IF(N(S78)&lt;=0.005,N('Min gæld'!$E$8),0)+IF(N(W78)&lt;=0.005,N('Min gæld'!$E$9),0)+IF(N(AA78)&lt;=0.005,N('Min gæld'!$E$10),0)+IF(N(AE78)&lt;=0.005,N('Min gæld'!$E$11),0)+IF(N(AI78)&lt;=0.005,N('Min gæld'!$E$12),0)</f>
        <v>4800</v>
      </c>
      <c r="D79" s="27" t="n">
        <f aca="false">MAX(0,C79)</f>
        <v>4800</v>
      </c>
      <c r="E79" s="27" t="n">
        <f aca="false">IF(N(G78)&lt;=0.005,0,N(G78)*(1+N('Min gæld'!$D$5)/12))</f>
        <v>0</v>
      </c>
      <c r="F79" s="27" t="n">
        <f aca="false">IF(E79&lt;=0,0,MIN(E79,N('Min gæld'!$E$5)+D79))</f>
        <v>0</v>
      </c>
      <c r="G79" s="27" t="n">
        <f aca="false">IF(E79-F79&lt;0.005,0,E79-F79)</f>
        <v>0</v>
      </c>
      <c r="H79" s="27" t="n">
        <f aca="false">MAX(0,IF(N(G78)&lt;=0.005,D79,D79+N('Min gæld'!$E$5)-F79))</f>
        <v>4800</v>
      </c>
      <c r="I79" s="27" t="n">
        <f aca="false">IF(N(K78)&lt;=0.005,0,N(K78)*(1+N('Min gæld'!$D$6)/12))</f>
        <v>0</v>
      </c>
      <c r="J79" s="27" t="n">
        <f aca="false">IF(I79&lt;=0,0,MIN(I79,N('Min gæld'!$E$6)+H79))</f>
        <v>0</v>
      </c>
      <c r="K79" s="27" t="n">
        <f aca="false">IF(I79-J79&lt;0.005,0,I79-J79)</f>
        <v>0</v>
      </c>
      <c r="L79" s="27" t="n">
        <f aca="false">MAX(0,IF(N(K78)&lt;=0.005,H79,H79+N('Min gæld'!$E$6)-J79))</f>
        <v>4800</v>
      </c>
      <c r="M79" s="27" t="n">
        <f aca="false">IF(N(O78)&lt;=0.005,0,N(O78)*(1+N('Min gæld'!$D$7)/12))</f>
        <v>0</v>
      </c>
      <c r="N79" s="27" t="n">
        <f aca="false">IF(M79&lt;=0,0,MIN(M79,N('Min gæld'!$E$7)+L79))</f>
        <v>0</v>
      </c>
      <c r="O79" s="27" t="n">
        <f aca="false">IF(M79-N79&lt;0.005,0,M79-N79)</f>
        <v>0</v>
      </c>
      <c r="P79" s="27" t="n">
        <f aca="false">MAX(0,IF(N(O78)&lt;=0.005,L79,L79+N('Min gæld'!$E$7)-N79))</f>
        <v>4800</v>
      </c>
      <c r="Q79" s="27" t="n">
        <f aca="false">IF(N(S78)&lt;=0.005,0,N(S78)*(1+N('Min gæld'!$D$8)/12))</f>
        <v>0</v>
      </c>
      <c r="R79" s="27" t="n">
        <f aca="false">IF(Q79&lt;=0,0,MIN(Q79,N('Min gæld'!$E$8)+P79))</f>
        <v>0</v>
      </c>
      <c r="S79" s="27" t="n">
        <f aca="false">IF(Q79-R79&lt;0.005,0,Q79-R79)</f>
        <v>0</v>
      </c>
      <c r="T79" s="27" t="n">
        <f aca="false">MAX(0,IF(N(S78)&lt;=0.005,P79,P79+N('Min gæld'!$E$8)-R79))</f>
        <v>4800</v>
      </c>
      <c r="U79" s="27" t="n">
        <f aca="false">IF(N(W78)&lt;=0.005,0,N(W78)*(1+N('Min gæld'!$D$9)/12))</f>
        <v>0</v>
      </c>
      <c r="V79" s="27" t="n">
        <f aca="false">IF(U79&lt;=0,0,MIN(U79,N('Min gæld'!$E$9)+T79))</f>
        <v>0</v>
      </c>
      <c r="W79" s="27" t="n">
        <f aca="false">IF(U79-V79&lt;0.005,0,U79-V79)</f>
        <v>0</v>
      </c>
      <c r="X79" s="27" t="n">
        <f aca="false">MAX(0,IF(N(W78)&lt;=0.005,T79,T79+N('Min gæld'!$E$9)-V79))</f>
        <v>4800</v>
      </c>
      <c r="Y79" s="27" t="n">
        <f aca="false">IF(N(AA78)&lt;=0.005,0,N(AA78)*(1+N('Min gæld'!$D$10)/12))</f>
        <v>0</v>
      </c>
      <c r="Z79" s="27" t="n">
        <f aca="false">IF(Y79&lt;=0,0,MIN(Y79,N('Min gæld'!$E$10)+X79))</f>
        <v>0</v>
      </c>
      <c r="AA79" s="27" t="n">
        <f aca="false">IF(Y79-Z79&lt;0.005,0,Y79-Z79)</f>
        <v>0</v>
      </c>
      <c r="AB79" s="27" t="n">
        <f aca="false">MAX(0,IF(N(AA78)&lt;=0.005,X79,X79+N('Min gæld'!$E$10)-Z79))</f>
        <v>4800</v>
      </c>
      <c r="AC79" s="27" t="n">
        <f aca="false">IF(N(AE78)&lt;=0.005,0,N(AE78)*(1+N('Min gæld'!$D$11)/12))</f>
        <v>0</v>
      </c>
      <c r="AD79" s="27" t="n">
        <f aca="false">IF(AC79&lt;=0,0,MIN(AC79,N('Min gæld'!$E$11)+AB79))</f>
        <v>0</v>
      </c>
      <c r="AE79" s="27" t="n">
        <f aca="false">IF(AC79-AD79&lt;0.005,0,AC79-AD79)</f>
        <v>0</v>
      </c>
      <c r="AF79" s="27" t="n">
        <f aca="false">MAX(0,IF(N(AE78)&lt;=0.005,AB79,AB79+N('Min gæld'!$E$11)-AD79))</f>
        <v>4800</v>
      </c>
      <c r="AG79" s="27" t="n">
        <f aca="false">IF(N(AI78)&lt;=0.005,0,N(AI78)*(1+N('Min gæld'!$D$12)/12))</f>
        <v>0</v>
      </c>
      <c r="AH79" s="27" t="n">
        <f aca="false">IF(AG79&lt;=0,0,MIN(AG79,N('Min gæld'!$E$12)+AF79))</f>
        <v>0</v>
      </c>
      <c r="AI79" s="27" t="n">
        <f aca="false">IF(AG79-AH79&lt;0.005,0,AG79-AH79)</f>
        <v>0</v>
      </c>
      <c r="AJ79" s="27" t="n">
        <f aca="false">G79+K79+O79+S79+W79+AA79+AE79+AI79</f>
        <v>0</v>
      </c>
      <c r="AK79" s="28" t="n">
        <f aca="false">IF(E79&gt;0,E79-N(G78),0)+IF(I79&gt;0,I79-N(K78),0)+IF(M79&gt;0,M79-N(O78),0)+IF(Q79&gt;0,Q79-N(S78),0)+IF(U79&gt;0,U79-N(W78),0)+IF(Y79&gt;0,Y79-N(AA78),0)+IF(AC79&gt;0,AC79-N(AE78),0)+IF(AG79&gt;0,AG79-N(AI78),0)</f>
        <v>0</v>
      </c>
    </row>
    <row r="80" customFormat="false" ht="15" hidden="false" customHeight="false" outlineLevel="0" collapsed="false">
      <c r="A80" s="25" t="n">
        <v>75</v>
      </c>
      <c r="B80" s="26" t="n">
        <f aca="false">EDATE('Min gæld'!$C$16,74)</f>
        <v>48639</v>
      </c>
      <c r="C80" s="27" t="n">
        <f aca="false">N('Min gæld'!$C$15)+IF(N(G79)&lt;=0.005,N('Min gæld'!$E$5),0)+IF(N(K79)&lt;=0.005,N('Min gæld'!$E$6),0)+IF(N(O79)&lt;=0.005,N('Min gæld'!$E$7),0)+IF(N(S79)&lt;=0.005,N('Min gæld'!$E$8),0)+IF(N(W79)&lt;=0.005,N('Min gæld'!$E$9),0)+IF(N(AA79)&lt;=0.005,N('Min gæld'!$E$10),0)+IF(N(AE79)&lt;=0.005,N('Min gæld'!$E$11),0)+IF(N(AI79)&lt;=0.005,N('Min gæld'!$E$12),0)</f>
        <v>4800</v>
      </c>
      <c r="D80" s="27" t="n">
        <f aca="false">MAX(0,C80)</f>
        <v>4800</v>
      </c>
      <c r="E80" s="27" t="n">
        <f aca="false">IF(N(G79)&lt;=0.005,0,N(G79)*(1+N('Min gæld'!$D$5)/12))</f>
        <v>0</v>
      </c>
      <c r="F80" s="27" t="n">
        <f aca="false">IF(E80&lt;=0,0,MIN(E80,N('Min gæld'!$E$5)+D80))</f>
        <v>0</v>
      </c>
      <c r="G80" s="27" t="n">
        <f aca="false">IF(E80-F80&lt;0.005,0,E80-F80)</f>
        <v>0</v>
      </c>
      <c r="H80" s="27" t="n">
        <f aca="false">MAX(0,IF(N(G79)&lt;=0.005,D80,D80+N('Min gæld'!$E$5)-F80))</f>
        <v>4800</v>
      </c>
      <c r="I80" s="27" t="n">
        <f aca="false">IF(N(K79)&lt;=0.005,0,N(K79)*(1+N('Min gæld'!$D$6)/12))</f>
        <v>0</v>
      </c>
      <c r="J80" s="27" t="n">
        <f aca="false">IF(I80&lt;=0,0,MIN(I80,N('Min gæld'!$E$6)+H80))</f>
        <v>0</v>
      </c>
      <c r="K80" s="27" t="n">
        <f aca="false">IF(I80-J80&lt;0.005,0,I80-J80)</f>
        <v>0</v>
      </c>
      <c r="L80" s="27" t="n">
        <f aca="false">MAX(0,IF(N(K79)&lt;=0.005,H80,H80+N('Min gæld'!$E$6)-J80))</f>
        <v>4800</v>
      </c>
      <c r="M80" s="27" t="n">
        <f aca="false">IF(N(O79)&lt;=0.005,0,N(O79)*(1+N('Min gæld'!$D$7)/12))</f>
        <v>0</v>
      </c>
      <c r="N80" s="27" t="n">
        <f aca="false">IF(M80&lt;=0,0,MIN(M80,N('Min gæld'!$E$7)+L80))</f>
        <v>0</v>
      </c>
      <c r="O80" s="27" t="n">
        <f aca="false">IF(M80-N80&lt;0.005,0,M80-N80)</f>
        <v>0</v>
      </c>
      <c r="P80" s="27" t="n">
        <f aca="false">MAX(0,IF(N(O79)&lt;=0.005,L80,L80+N('Min gæld'!$E$7)-N80))</f>
        <v>4800</v>
      </c>
      <c r="Q80" s="27" t="n">
        <f aca="false">IF(N(S79)&lt;=0.005,0,N(S79)*(1+N('Min gæld'!$D$8)/12))</f>
        <v>0</v>
      </c>
      <c r="R80" s="27" t="n">
        <f aca="false">IF(Q80&lt;=0,0,MIN(Q80,N('Min gæld'!$E$8)+P80))</f>
        <v>0</v>
      </c>
      <c r="S80" s="27" t="n">
        <f aca="false">IF(Q80-R80&lt;0.005,0,Q80-R80)</f>
        <v>0</v>
      </c>
      <c r="T80" s="27" t="n">
        <f aca="false">MAX(0,IF(N(S79)&lt;=0.005,P80,P80+N('Min gæld'!$E$8)-R80))</f>
        <v>4800</v>
      </c>
      <c r="U80" s="27" t="n">
        <f aca="false">IF(N(W79)&lt;=0.005,0,N(W79)*(1+N('Min gæld'!$D$9)/12))</f>
        <v>0</v>
      </c>
      <c r="V80" s="27" t="n">
        <f aca="false">IF(U80&lt;=0,0,MIN(U80,N('Min gæld'!$E$9)+T80))</f>
        <v>0</v>
      </c>
      <c r="W80" s="27" t="n">
        <f aca="false">IF(U80-V80&lt;0.005,0,U80-V80)</f>
        <v>0</v>
      </c>
      <c r="X80" s="27" t="n">
        <f aca="false">MAX(0,IF(N(W79)&lt;=0.005,T80,T80+N('Min gæld'!$E$9)-V80))</f>
        <v>4800</v>
      </c>
      <c r="Y80" s="27" t="n">
        <f aca="false">IF(N(AA79)&lt;=0.005,0,N(AA79)*(1+N('Min gæld'!$D$10)/12))</f>
        <v>0</v>
      </c>
      <c r="Z80" s="27" t="n">
        <f aca="false">IF(Y80&lt;=0,0,MIN(Y80,N('Min gæld'!$E$10)+X80))</f>
        <v>0</v>
      </c>
      <c r="AA80" s="27" t="n">
        <f aca="false">IF(Y80-Z80&lt;0.005,0,Y80-Z80)</f>
        <v>0</v>
      </c>
      <c r="AB80" s="27" t="n">
        <f aca="false">MAX(0,IF(N(AA79)&lt;=0.005,X80,X80+N('Min gæld'!$E$10)-Z80))</f>
        <v>4800</v>
      </c>
      <c r="AC80" s="27" t="n">
        <f aca="false">IF(N(AE79)&lt;=0.005,0,N(AE79)*(1+N('Min gæld'!$D$11)/12))</f>
        <v>0</v>
      </c>
      <c r="AD80" s="27" t="n">
        <f aca="false">IF(AC80&lt;=0,0,MIN(AC80,N('Min gæld'!$E$11)+AB80))</f>
        <v>0</v>
      </c>
      <c r="AE80" s="27" t="n">
        <f aca="false">IF(AC80-AD80&lt;0.005,0,AC80-AD80)</f>
        <v>0</v>
      </c>
      <c r="AF80" s="27" t="n">
        <f aca="false">MAX(0,IF(N(AE79)&lt;=0.005,AB80,AB80+N('Min gæld'!$E$11)-AD80))</f>
        <v>4800</v>
      </c>
      <c r="AG80" s="27" t="n">
        <f aca="false">IF(N(AI79)&lt;=0.005,0,N(AI79)*(1+N('Min gæld'!$D$12)/12))</f>
        <v>0</v>
      </c>
      <c r="AH80" s="27" t="n">
        <f aca="false">IF(AG80&lt;=0,0,MIN(AG80,N('Min gæld'!$E$12)+AF80))</f>
        <v>0</v>
      </c>
      <c r="AI80" s="27" t="n">
        <f aca="false">IF(AG80-AH80&lt;0.005,0,AG80-AH80)</f>
        <v>0</v>
      </c>
      <c r="AJ80" s="27" t="n">
        <f aca="false">G80+K80+O80+S80+W80+AA80+AE80+AI80</f>
        <v>0</v>
      </c>
      <c r="AK80" s="28" t="n">
        <f aca="false">IF(E80&gt;0,E80-N(G79),0)+IF(I80&gt;0,I80-N(K79),0)+IF(M80&gt;0,M80-N(O79),0)+IF(Q80&gt;0,Q80-N(S79),0)+IF(U80&gt;0,U80-N(W79),0)+IF(Y80&gt;0,Y80-N(AA79),0)+IF(AC80&gt;0,AC80-N(AE79),0)+IF(AG80&gt;0,AG80-N(AI79),0)</f>
        <v>0</v>
      </c>
    </row>
    <row r="81" customFormat="false" ht="15" hidden="false" customHeight="false" outlineLevel="0" collapsed="false">
      <c r="A81" s="25" t="n">
        <v>76</v>
      </c>
      <c r="B81" s="26" t="n">
        <f aca="false">EDATE('Min gæld'!$C$16,75)</f>
        <v>48670</v>
      </c>
      <c r="C81" s="27" t="n">
        <f aca="false">N('Min gæld'!$C$15)+IF(N(G80)&lt;=0.005,N('Min gæld'!$E$5),0)+IF(N(K80)&lt;=0.005,N('Min gæld'!$E$6),0)+IF(N(O80)&lt;=0.005,N('Min gæld'!$E$7),0)+IF(N(S80)&lt;=0.005,N('Min gæld'!$E$8),0)+IF(N(W80)&lt;=0.005,N('Min gæld'!$E$9),0)+IF(N(AA80)&lt;=0.005,N('Min gæld'!$E$10),0)+IF(N(AE80)&lt;=0.005,N('Min gæld'!$E$11),0)+IF(N(AI80)&lt;=0.005,N('Min gæld'!$E$12),0)</f>
        <v>4800</v>
      </c>
      <c r="D81" s="27" t="n">
        <f aca="false">MAX(0,C81)</f>
        <v>4800</v>
      </c>
      <c r="E81" s="27" t="n">
        <f aca="false">IF(N(G80)&lt;=0.005,0,N(G80)*(1+N('Min gæld'!$D$5)/12))</f>
        <v>0</v>
      </c>
      <c r="F81" s="27" t="n">
        <f aca="false">IF(E81&lt;=0,0,MIN(E81,N('Min gæld'!$E$5)+D81))</f>
        <v>0</v>
      </c>
      <c r="G81" s="27" t="n">
        <f aca="false">IF(E81-F81&lt;0.005,0,E81-F81)</f>
        <v>0</v>
      </c>
      <c r="H81" s="27" t="n">
        <f aca="false">MAX(0,IF(N(G80)&lt;=0.005,D81,D81+N('Min gæld'!$E$5)-F81))</f>
        <v>4800</v>
      </c>
      <c r="I81" s="27" t="n">
        <f aca="false">IF(N(K80)&lt;=0.005,0,N(K80)*(1+N('Min gæld'!$D$6)/12))</f>
        <v>0</v>
      </c>
      <c r="J81" s="27" t="n">
        <f aca="false">IF(I81&lt;=0,0,MIN(I81,N('Min gæld'!$E$6)+H81))</f>
        <v>0</v>
      </c>
      <c r="K81" s="27" t="n">
        <f aca="false">IF(I81-J81&lt;0.005,0,I81-J81)</f>
        <v>0</v>
      </c>
      <c r="L81" s="27" t="n">
        <f aca="false">MAX(0,IF(N(K80)&lt;=0.005,H81,H81+N('Min gæld'!$E$6)-J81))</f>
        <v>4800</v>
      </c>
      <c r="M81" s="27" t="n">
        <f aca="false">IF(N(O80)&lt;=0.005,0,N(O80)*(1+N('Min gæld'!$D$7)/12))</f>
        <v>0</v>
      </c>
      <c r="N81" s="27" t="n">
        <f aca="false">IF(M81&lt;=0,0,MIN(M81,N('Min gæld'!$E$7)+L81))</f>
        <v>0</v>
      </c>
      <c r="O81" s="27" t="n">
        <f aca="false">IF(M81-N81&lt;0.005,0,M81-N81)</f>
        <v>0</v>
      </c>
      <c r="P81" s="27" t="n">
        <f aca="false">MAX(0,IF(N(O80)&lt;=0.005,L81,L81+N('Min gæld'!$E$7)-N81))</f>
        <v>4800</v>
      </c>
      <c r="Q81" s="27" t="n">
        <f aca="false">IF(N(S80)&lt;=0.005,0,N(S80)*(1+N('Min gæld'!$D$8)/12))</f>
        <v>0</v>
      </c>
      <c r="R81" s="27" t="n">
        <f aca="false">IF(Q81&lt;=0,0,MIN(Q81,N('Min gæld'!$E$8)+P81))</f>
        <v>0</v>
      </c>
      <c r="S81" s="27" t="n">
        <f aca="false">IF(Q81-R81&lt;0.005,0,Q81-R81)</f>
        <v>0</v>
      </c>
      <c r="T81" s="27" t="n">
        <f aca="false">MAX(0,IF(N(S80)&lt;=0.005,P81,P81+N('Min gæld'!$E$8)-R81))</f>
        <v>4800</v>
      </c>
      <c r="U81" s="27" t="n">
        <f aca="false">IF(N(W80)&lt;=0.005,0,N(W80)*(1+N('Min gæld'!$D$9)/12))</f>
        <v>0</v>
      </c>
      <c r="V81" s="27" t="n">
        <f aca="false">IF(U81&lt;=0,0,MIN(U81,N('Min gæld'!$E$9)+T81))</f>
        <v>0</v>
      </c>
      <c r="W81" s="27" t="n">
        <f aca="false">IF(U81-V81&lt;0.005,0,U81-V81)</f>
        <v>0</v>
      </c>
      <c r="X81" s="27" t="n">
        <f aca="false">MAX(0,IF(N(W80)&lt;=0.005,T81,T81+N('Min gæld'!$E$9)-V81))</f>
        <v>4800</v>
      </c>
      <c r="Y81" s="27" t="n">
        <f aca="false">IF(N(AA80)&lt;=0.005,0,N(AA80)*(1+N('Min gæld'!$D$10)/12))</f>
        <v>0</v>
      </c>
      <c r="Z81" s="27" t="n">
        <f aca="false">IF(Y81&lt;=0,0,MIN(Y81,N('Min gæld'!$E$10)+X81))</f>
        <v>0</v>
      </c>
      <c r="AA81" s="27" t="n">
        <f aca="false">IF(Y81-Z81&lt;0.005,0,Y81-Z81)</f>
        <v>0</v>
      </c>
      <c r="AB81" s="27" t="n">
        <f aca="false">MAX(0,IF(N(AA80)&lt;=0.005,X81,X81+N('Min gæld'!$E$10)-Z81))</f>
        <v>4800</v>
      </c>
      <c r="AC81" s="27" t="n">
        <f aca="false">IF(N(AE80)&lt;=0.005,0,N(AE80)*(1+N('Min gæld'!$D$11)/12))</f>
        <v>0</v>
      </c>
      <c r="AD81" s="27" t="n">
        <f aca="false">IF(AC81&lt;=0,0,MIN(AC81,N('Min gæld'!$E$11)+AB81))</f>
        <v>0</v>
      </c>
      <c r="AE81" s="27" t="n">
        <f aca="false">IF(AC81-AD81&lt;0.005,0,AC81-AD81)</f>
        <v>0</v>
      </c>
      <c r="AF81" s="27" t="n">
        <f aca="false">MAX(0,IF(N(AE80)&lt;=0.005,AB81,AB81+N('Min gæld'!$E$11)-AD81))</f>
        <v>4800</v>
      </c>
      <c r="AG81" s="27" t="n">
        <f aca="false">IF(N(AI80)&lt;=0.005,0,N(AI80)*(1+N('Min gæld'!$D$12)/12))</f>
        <v>0</v>
      </c>
      <c r="AH81" s="27" t="n">
        <f aca="false">IF(AG81&lt;=0,0,MIN(AG81,N('Min gæld'!$E$12)+AF81))</f>
        <v>0</v>
      </c>
      <c r="AI81" s="27" t="n">
        <f aca="false">IF(AG81-AH81&lt;0.005,0,AG81-AH81)</f>
        <v>0</v>
      </c>
      <c r="AJ81" s="27" t="n">
        <f aca="false">G81+K81+O81+S81+W81+AA81+AE81+AI81</f>
        <v>0</v>
      </c>
      <c r="AK81" s="28" t="n">
        <f aca="false">IF(E81&gt;0,E81-N(G80),0)+IF(I81&gt;0,I81-N(K80),0)+IF(M81&gt;0,M81-N(O80),0)+IF(Q81&gt;0,Q81-N(S80),0)+IF(U81&gt;0,U81-N(W80),0)+IF(Y81&gt;0,Y81-N(AA80),0)+IF(AC81&gt;0,AC81-N(AE80),0)+IF(AG81&gt;0,AG81-N(AI80),0)</f>
        <v>0</v>
      </c>
    </row>
    <row r="82" customFormat="false" ht="15" hidden="false" customHeight="false" outlineLevel="0" collapsed="false">
      <c r="A82" s="25" t="n">
        <v>77</v>
      </c>
      <c r="B82" s="26" t="n">
        <f aca="false">EDATE('Min gæld'!$C$16,76)</f>
        <v>48700</v>
      </c>
      <c r="C82" s="27" t="n">
        <f aca="false">N('Min gæld'!$C$15)+IF(N(G81)&lt;=0.005,N('Min gæld'!$E$5),0)+IF(N(K81)&lt;=0.005,N('Min gæld'!$E$6),0)+IF(N(O81)&lt;=0.005,N('Min gæld'!$E$7),0)+IF(N(S81)&lt;=0.005,N('Min gæld'!$E$8),0)+IF(N(W81)&lt;=0.005,N('Min gæld'!$E$9),0)+IF(N(AA81)&lt;=0.005,N('Min gæld'!$E$10),0)+IF(N(AE81)&lt;=0.005,N('Min gæld'!$E$11),0)+IF(N(AI81)&lt;=0.005,N('Min gæld'!$E$12),0)</f>
        <v>4800</v>
      </c>
      <c r="D82" s="27" t="n">
        <f aca="false">MAX(0,C82)</f>
        <v>4800</v>
      </c>
      <c r="E82" s="27" t="n">
        <f aca="false">IF(N(G81)&lt;=0.005,0,N(G81)*(1+N('Min gæld'!$D$5)/12))</f>
        <v>0</v>
      </c>
      <c r="F82" s="27" t="n">
        <f aca="false">IF(E82&lt;=0,0,MIN(E82,N('Min gæld'!$E$5)+D82))</f>
        <v>0</v>
      </c>
      <c r="G82" s="27" t="n">
        <f aca="false">IF(E82-F82&lt;0.005,0,E82-F82)</f>
        <v>0</v>
      </c>
      <c r="H82" s="27" t="n">
        <f aca="false">MAX(0,IF(N(G81)&lt;=0.005,D82,D82+N('Min gæld'!$E$5)-F82))</f>
        <v>4800</v>
      </c>
      <c r="I82" s="27" t="n">
        <f aca="false">IF(N(K81)&lt;=0.005,0,N(K81)*(1+N('Min gæld'!$D$6)/12))</f>
        <v>0</v>
      </c>
      <c r="J82" s="27" t="n">
        <f aca="false">IF(I82&lt;=0,0,MIN(I82,N('Min gæld'!$E$6)+H82))</f>
        <v>0</v>
      </c>
      <c r="K82" s="27" t="n">
        <f aca="false">IF(I82-J82&lt;0.005,0,I82-J82)</f>
        <v>0</v>
      </c>
      <c r="L82" s="27" t="n">
        <f aca="false">MAX(0,IF(N(K81)&lt;=0.005,H82,H82+N('Min gæld'!$E$6)-J82))</f>
        <v>4800</v>
      </c>
      <c r="M82" s="27" t="n">
        <f aca="false">IF(N(O81)&lt;=0.005,0,N(O81)*(1+N('Min gæld'!$D$7)/12))</f>
        <v>0</v>
      </c>
      <c r="N82" s="27" t="n">
        <f aca="false">IF(M82&lt;=0,0,MIN(M82,N('Min gæld'!$E$7)+L82))</f>
        <v>0</v>
      </c>
      <c r="O82" s="27" t="n">
        <f aca="false">IF(M82-N82&lt;0.005,0,M82-N82)</f>
        <v>0</v>
      </c>
      <c r="P82" s="27" t="n">
        <f aca="false">MAX(0,IF(N(O81)&lt;=0.005,L82,L82+N('Min gæld'!$E$7)-N82))</f>
        <v>4800</v>
      </c>
      <c r="Q82" s="27" t="n">
        <f aca="false">IF(N(S81)&lt;=0.005,0,N(S81)*(1+N('Min gæld'!$D$8)/12))</f>
        <v>0</v>
      </c>
      <c r="R82" s="27" t="n">
        <f aca="false">IF(Q82&lt;=0,0,MIN(Q82,N('Min gæld'!$E$8)+P82))</f>
        <v>0</v>
      </c>
      <c r="S82" s="27" t="n">
        <f aca="false">IF(Q82-R82&lt;0.005,0,Q82-R82)</f>
        <v>0</v>
      </c>
      <c r="T82" s="27" t="n">
        <f aca="false">MAX(0,IF(N(S81)&lt;=0.005,P82,P82+N('Min gæld'!$E$8)-R82))</f>
        <v>4800</v>
      </c>
      <c r="U82" s="27" t="n">
        <f aca="false">IF(N(W81)&lt;=0.005,0,N(W81)*(1+N('Min gæld'!$D$9)/12))</f>
        <v>0</v>
      </c>
      <c r="V82" s="27" t="n">
        <f aca="false">IF(U82&lt;=0,0,MIN(U82,N('Min gæld'!$E$9)+T82))</f>
        <v>0</v>
      </c>
      <c r="W82" s="27" t="n">
        <f aca="false">IF(U82-V82&lt;0.005,0,U82-V82)</f>
        <v>0</v>
      </c>
      <c r="X82" s="27" t="n">
        <f aca="false">MAX(0,IF(N(W81)&lt;=0.005,T82,T82+N('Min gæld'!$E$9)-V82))</f>
        <v>4800</v>
      </c>
      <c r="Y82" s="27" t="n">
        <f aca="false">IF(N(AA81)&lt;=0.005,0,N(AA81)*(1+N('Min gæld'!$D$10)/12))</f>
        <v>0</v>
      </c>
      <c r="Z82" s="27" t="n">
        <f aca="false">IF(Y82&lt;=0,0,MIN(Y82,N('Min gæld'!$E$10)+X82))</f>
        <v>0</v>
      </c>
      <c r="AA82" s="27" t="n">
        <f aca="false">IF(Y82-Z82&lt;0.005,0,Y82-Z82)</f>
        <v>0</v>
      </c>
      <c r="AB82" s="27" t="n">
        <f aca="false">MAX(0,IF(N(AA81)&lt;=0.005,X82,X82+N('Min gæld'!$E$10)-Z82))</f>
        <v>4800</v>
      </c>
      <c r="AC82" s="27" t="n">
        <f aca="false">IF(N(AE81)&lt;=0.005,0,N(AE81)*(1+N('Min gæld'!$D$11)/12))</f>
        <v>0</v>
      </c>
      <c r="AD82" s="27" t="n">
        <f aca="false">IF(AC82&lt;=0,0,MIN(AC82,N('Min gæld'!$E$11)+AB82))</f>
        <v>0</v>
      </c>
      <c r="AE82" s="27" t="n">
        <f aca="false">IF(AC82-AD82&lt;0.005,0,AC82-AD82)</f>
        <v>0</v>
      </c>
      <c r="AF82" s="27" t="n">
        <f aca="false">MAX(0,IF(N(AE81)&lt;=0.005,AB82,AB82+N('Min gæld'!$E$11)-AD82))</f>
        <v>4800</v>
      </c>
      <c r="AG82" s="27" t="n">
        <f aca="false">IF(N(AI81)&lt;=0.005,0,N(AI81)*(1+N('Min gæld'!$D$12)/12))</f>
        <v>0</v>
      </c>
      <c r="AH82" s="27" t="n">
        <f aca="false">IF(AG82&lt;=0,0,MIN(AG82,N('Min gæld'!$E$12)+AF82))</f>
        <v>0</v>
      </c>
      <c r="AI82" s="27" t="n">
        <f aca="false">IF(AG82-AH82&lt;0.005,0,AG82-AH82)</f>
        <v>0</v>
      </c>
      <c r="AJ82" s="27" t="n">
        <f aca="false">G82+K82+O82+S82+W82+AA82+AE82+AI82</f>
        <v>0</v>
      </c>
      <c r="AK82" s="28" t="n">
        <f aca="false">IF(E82&gt;0,E82-N(G81),0)+IF(I82&gt;0,I82-N(K81),0)+IF(M82&gt;0,M82-N(O81),0)+IF(Q82&gt;0,Q82-N(S81),0)+IF(U82&gt;0,U82-N(W81),0)+IF(Y82&gt;0,Y82-N(AA81),0)+IF(AC82&gt;0,AC82-N(AE81),0)+IF(AG82&gt;0,AG82-N(AI81),0)</f>
        <v>0</v>
      </c>
    </row>
    <row r="83" customFormat="false" ht="15" hidden="false" customHeight="false" outlineLevel="0" collapsed="false">
      <c r="A83" s="25" t="n">
        <v>78</v>
      </c>
      <c r="B83" s="26" t="n">
        <f aca="false">EDATE('Min gæld'!$C$16,77)</f>
        <v>48731</v>
      </c>
      <c r="C83" s="27" t="n">
        <f aca="false">N('Min gæld'!$C$15)+IF(N(G82)&lt;=0.005,N('Min gæld'!$E$5),0)+IF(N(K82)&lt;=0.005,N('Min gæld'!$E$6),0)+IF(N(O82)&lt;=0.005,N('Min gæld'!$E$7),0)+IF(N(S82)&lt;=0.005,N('Min gæld'!$E$8),0)+IF(N(W82)&lt;=0.005,N('Min gæld'!$E$9),0)+IF(N(AA82)&lt;=0.005,N('Min gæld'!$E$10),0)+IF(N(AE82)&lt;=0.005,N('Min gæld'!$E$11),0)+IF(N(AI82)&lt;=0.005,N('Min gæld'!$E$12),0)</f>
        <v>4800</v>
      </c>
      <c r="D83" s="27" t="n">
        <f aca="false">MAX(0,C83)</f>
        <v>4800</v>
      </c>
      <c r="E83" s="27" t="n">
        <f aca="false">IF(N(G82)&lt;=0.005,0,N(G82)*(1+N('Min gæld'!$D$5)/12))</f>
        <v>0</v>
      </c>
      <c r="F83" s="27" t="n">
        <f aca="false">IF(E83&lt;=0,0,MIN(E83,N('Min gæld'!$E$5)+D83))</f>
        <v>0</v>
      </c>
      <c r="G83" s="27" t="n">
        <f aca="false">IF(E83-F83&lt;0.005,0,E83-F83)</f>
        <v>0</v>
      </c>
      <c r="H83" s="27" t="n">
        <f aca="false">MAX(0,IF(N(G82)&lt;=0.005,D83,D83+N('Min gæld'!$E$5)-F83))</f>
        <v>4800</v>
      </c>
      <c r="I83" s="27" t="n">
        <f aca="false">IF(N(K82)&lt;=0.005,0,N(K82)*(1+N('Min gæld'!$D$6)/12))</f>
        <v>0</v>
      </c>
      <c r="J83" s="27" t="n">
        <f aca="false">IF(I83&lt;=0,0,MIN(I83,N('Min gæld'!$E$6)+H83))</f>
        <v>0</v>
      </c>
      <c r="K83" s="27" t="n">
        <f aca="false">IF(I83-J83&lt;0.005,0,I83-J83)</f>
        <v>0</v>
      </c>
      <c r="L83" s="27" t="n">
        <f aca="false">MAX(0,IF(N(K82)&lt;=0.005,H83,H83+N('Min gæld'!$E$6)-J83))</f>
        <v>4800</v>
      </c>
      <c r="M83" s="27" t="n">
        <f aca="false">IF(N(O82)&lt;=0.005,0,N(O82)*(1+N('Min gæld'!$D$7)/12))</f>
        <v>0</v>
      </c>
      <c r="N83" s="27" t="n">
        <f aca="false">IF(M83&lt;=0,0,MIN(M83,N('Min gæld'!$E$7)+L83))</f>
        <v>0</v>
      </c>
      <c r="O83" s="27" t="n">
        <f aca="false">IF(M83-N83&lt;0.005,0,M83-N83)</f>
        <v>0</v>
      </c>
      <c r="P83" s="27" t="n">
        <f aca="false">MAX(0,IF(N(O82)&lt;=0.005,L83,L83+N('Min gæld'!$E$7)-N83))</f>
        <v>4800</v>
      </c>
      <c r="Q83" s="27" t="n">
        <f aca="false">IF(N(S82)&lt;=0.005,0,N(S82)*(1+N('Min gæld'!$D$8)/12))</f>
        <v>0</v>
      </c>
      <c r="R83" s="27" t="n">
        <f aca="false">IF(Q83&lt;=0,0,MIN(Q83,N('Min gæld'!$E$8)+P83))</f>
        <v>0</v>
      </c>
      <c r="S83" s="27" t="n">
        <f aca="false">IF(Q83-R83&lt;0.005,0,Q83-R83)</f>
        <v>0</v>
      </c>
      <c r="T83" s="27" t="n">
        <f aca="false">MAX(0,IF(N(S82)&lt;=0.005,P83,P83+N('Min gæld'!$E$8)-R83))</f>
        <v>4800</v>
      </c>
      <c r="U83" s="27" t="n">
        <f aca="false">IF(N(W82)&lt;=0.005,0,N(W82)*(1+N('Min gæld'!$D$9)/12))</f>
        <v>0</v>
      </c>
      <c r="V83" s="27" t="n">
        <f aca="false">IF(U83&lt;=0,0,MIN(U83,N('Min gæld'!$E$9)+T83))</f>
        <v>0</v>
      </c>
      <c r="W83" s="27" t="n">
        <f aca="false">IF(U83-V83&lt;0.005,0,U83-V83)</f>
        <v>0</v>
      </c>
      <c r="X83" s="27" t="n">
        <f aca="false">MAX(0,IF(N(W82)&lt;=0.005,T83,T83+N('Min gæld'!$E$9)-V83))</f>
        <v>4800</v>
      </c>
      <c r="Y83" s="27" t="n">
        <f aca="false">IF(N(AA82)&lt;=0.005,0,N(AA82)*(1+N('Min gæld'!$D$10)/12))</f>
        <v>0</v>
      </c>
      <c r="Z83" s="27" t="n">
        <f aca="false">IF(Y83&lt;=0,0,MIN(Y83,N('Min gæld'!$E$10)+X83))</f>
        <v>0</v>
      </c>
      <c r="AA83" s="27" t="n">
        <f aca="false">IF(Y83-Z83&lt;0.005,0,Y83-Z83)</f>
        <v>0</v>
      </c>
      <c r="AB83" s="27" t="n">
        <f aca="false">MAX(0,IF(N(AA82)&lt;=0.005,X83,X83+N('Min gæld'!$E$10)-Z83))</f>
        <v>4800</v>
      </c>
      <c r="AC83" s="27" t="n">
        <f aca="false">IF(N(AE82)&lt;=0.005,0,N(AE82)*(1+N('Min gæld'!$D$11)/12))</f>
        <v>0</v>
      </c>
      <c r="AD83" s="27" t="n">
        <f aca="false">IF(AC83&lt;=0,0,MIN(AC83,N('Min gæld'!$E$11)+AB83))</f>
        <v>0</v>
      </c>
      <c r="AE83" s="27" t="n">
        <f aca="false">IF(AC83-AD83&lt;0.005,0,AC83-AD83)</f>
        <v>0</v>
      </c>
      <c r="AF83" s="27" t="n">
        <f aca="false">MAX(0,IF(N(AE82)&lt;=0.005,AB83,AB83+N('Min gæld'!$E$11)-AD83))</f>
        <v>4800</v>
      </c>
      <c r="AG83" s="27" t="n">
        <f aca="false">IF(N(AI82)&lt;=0.005,0,N(AI82)*(1+N('Min gæld'!$D$12)/12))</f>
        <v>0</v>
      </c>
      <c r="AH83" s="27" t="n">
        <f aca="false">IF(AG83&lt;=0,0,MIN(AG83,N('Min gæld'!$E$12)+AF83))</f>
        <v>0</v>
      </c>
      <c r="AI83" s="27" t="n">
        <f aca="false">IF(AG83-AH83&lt;0.005,0,AG83-AH83)</f>
        <v>0</v>
      </c>
      <c r="AJ83" s="27" t="n">
        <f aca="false">G83+K83+O83+S83+W83+AA83+AE83+AI83</f>
        <v>0</v>
      </c>
      <c r="AK83" s="28" t="n">
        <f aca="false">IF(E83&gt;0,E83-N(G82),0)+IF(I83&gt;0,I83-N(K82),0)+IF(M83&gt;0,M83-N(O82),0)+IF(Q83&gt;0,Q83-N(S82),0)+IF(U83&gt;0,U83-N(W82),0)+IF(Y83&gt;0,Y83-N(AA82),0)+IF(AC83&gt;0,AC83-N(AE82),0)+IF(AG83&gt;0,AG83-N(AI82),0)</f>
        <v>0</v>
      </c>
    </row>
    <row r="84" customFormat="false" ht="15" hidden="false" customHeight="false" outlineLevel="0" collapsed="false">
      <c r="A84" s="25" t="n">
        <v>79</v>
      </c>
      <c r="B84" s="26" t="n">
        <f aca="false">EDATE('Min gæld'!$C$16,78)</f>
        <v>48761</v>
      </c>
      <c r="C84" s="27" t="n">
        <f aca="false">N('Min gæld'!$C$15)+IF(N(G83)&lt;=0.005,N('Min gæld'!$E$5),0)+IF(N(K83)&lt;=0.005,N('Min gæld'!$E$6),0)+IF(N(O83)&lt;=0.005,N('Min gæld'!$E$7),0)+IF(N(S83)&lt;=0.005,N('Min gæld'!$E$8),0)+IF(N(W83)&lt;=0.005,N('Min gæld'!$E$9),0)+IF(N(AA83)&lt;=0.005,N('Min gæld'!$E$10),0)+IF(N(AE83)&lt;=0.005,N('Min gæld'!$E$11),0)+IF(N(AI83)&lt;=0.005,N('Min gæld'!$E$12),0)</f>
        <v>4800</v>
      </c>
      <c r="D84" s="27" t="n">
        <f aca="false">MAX(0,C84)</f>
        <v>4800</v>
      </c>
      <c r="E84" s="27" t="n">
        <f aca="false">IF(N(G83)&lt;=0.005,0,N(G83)*(1+N('Min gæld'!$D$5)/12))</f>
        <v>0</v>
      </c>
      <c r="F84" s="27" t="n">
        <f aca="false">IF(E84&lt;=0,0,MIN(E84,N('Min gæld'!$E$5)+D84))</f>
        <v>0</v>
      </c>
      <c r="G84" s="27" t="n">
        <f aca="false">IF(E84-F84&lt;0.005,0,E84-F84)</f>
        <v>0</v>
      </c>
      <c r="H84" s="27" t="n">
        <f aca="false">MAX(0,IF(N(G83)&lt;=0.005,D84,D84+N('Min gæld'!$E$5)-F84))</f>
        <v>4800</v>
      </c>
      <c r="I84" s="27" t="n">
        <f aca="false">IF(N(K83)&lt;=0.005,0,N(K83)*(1+N('Min gæld'!$D$6)/12))</f>
        <v>0</v>
      </c>
      <c r="J84" s="27" t="n">
        <f aca="false">IF(I84&lt;=0,0,MIN(I84,N('Min gæld'!$E$6)+H84))</f>
        <v>0</v>
      </c>
      <c r="K84" s="27" t="n">
        <f aca="false">IF(I84-J84&lt;0.005,0,I84-J84)</f>
        <v>0</v>
      </c>
      <c r="L84" s="27" t="n">
        <f aca="false">MAX(0,IF(N(K83)&lt;=0.005,H84,H84+N('Min gæld'!$E$6)-J84))</f>
        <v>4800</v>
      </c>
      <c r="M84" s="27" t="n">
        <f aca="false">IF(N(O83)&lt;=0.005,0,N(O83)*(1+N('Min gæld'!$D$7)/12))</f>
        <v>0</v>
      </c>
      <c r="N84" s="27" t="n">
        <f aca="false">IF(M84&lt;=0,0,MIN(M84,N('Min gæld'!$E$7)+L84))</f>
        <v>0</v>
      </c>
      <c r="O84" s="27" t="n">
        <f aca="false">IF(M84-N84&lt;0.005,0,M84-N84)</f>
        <v>0</v>
      </c>
      <c r="P84" s="27" t="n">
        <f aca="false">MAX(0,IF(N(O83)&lt;=0.005,L84,L84+N('Min gæld'!$E$7)-N84))</f>
        <v>4800</v>
      </c>
      <c r="Q84" s="27" t="n">
        <f aca="false">IF(N(S83)&lt;=0.005,0,N(S83)*(1+N('Min gæld'!$D$8)/12))</f>
        <v>0</v>
      </c>
      <c r="R84" s="27" t="n">
        <f aca="false">IF(Q84&lt;=0,0,MIN(Q84,N('Min gæld'!$E$8)+P84))</f>
        <v>0</v>
      </c>
      <c r="S84" s="27" t="n">
        <f aca="false">IF(Q84-R84&lt;0.005,0,Q84-R84)</f>
        <v>0</v>
      </c>
      <c r="T84" s="27" t="n">
        <f aca="false">MAX(0,IF(N(S83)&lt;=0.005,P84,P84+N('Min gæld'!$E$8)-R84))</f>
        <v>4800</v>
      </c>
      <c r="U84" s="27" t="n">
        <f aca="false">IF(N(W83)&lt;=0.005,0,N(W83)*(1+N('Min gæld'!$D$9)/12))</f>
        <v>0</v>
      </c>
      <c r="V84" s="27" t="n">
        <f aca="false">IF(U84&lt;=0,0,MIN(U84,N('Min gæld'!$E$9)+T84))</f>
        <v>0</v>
      </c>
      <c r="W84" s="27" t="n">
        <f aca="false">IF(U84-V84&lt;0.005,0,U84-V84)</f>
        <v>0</v>
      </c>
      <c r="X84" s="27" t="n">
        <f aca="false">MAX(0,IF(N(W83)&lt;=0.005,T84,T84+N('Min gæld'!$E$9)-V84))</f>
        <v>4800</v>
      </c>
      <c r="Y84" s="27" t="n">
        <f aca="false">IF(N(AA83)&lt;=0.005,0,N(AA83)*(1+N('Min gæld'!$D$10)/12))</f>
        <v>0</v>
      </c>
      <c r="Z84" s="27" t="n">
        <f aca="false">IF(Y84&lt;=0,0,MIN(Y84,N('Min gæld'!$E$10)+X84))</f>
        <v>0</v>
      </c>
      <c r="AA84" s="27" t="n">
        <f aca="false">IF(Y84-Z84&lt;0.005,0,Y84-Z84)</f>
        <v>0</v>
      </c>
      <c r="AB84" s="27" t="n">
        <f aca="false">MAX(0,IF(N(AA83)&lt;=0.005,X84,X84+N('Min gæld'!$E$10)-Z84))</f>
        <v>4800</v>
      </c>
      <c r="AC84" s="27" t="n">
        <f aca="false">IF(N(AE83)&lt;=0.005,0,N(AE83)*(1+N('Min gæld'!$D$11)/12))</f>
        <v>0</v>
      </c>
      <c r="AD84" s="27" t="n">
        <f aca="false">IF(AC84&lt;=0,0,MIN(AC84,N('Min gæld'!$E$11)+AB84))</f>
        <v>0</v>
      </c>
      <c r="AE84" s="27" t="n">
        <f aca="false">IF(AC84-AD84&lt;0.005,0,AC84-AD84)</f>
        <v>0</v>
      </c>
      <c r="AF84" s="27" t="n">
        <f aca="false">MAX(0,IF(N(AE83)&lt;=0.005,AB84,AB84+N('Min gæld'!$E$11)-AD84))</f>
        <v>4800</v>
      </c>
      <c r="AG84" s="27" t="n">
        <f aca="false">IF(N(AI83)&lt;=0.005,0,N(AI83)*(1+N('Min gæld'!$D$12)/12))</f>
        <v>0</v>
      </c>
      <c r="AH84" s="27" t="n">
        <f aca="false">IF(AG84&lt;=0,0,MIN(AG84,N('Min gæld'!$E$12)+AF84))</f>
        <v>0</v>
      </c>
      <c r="AI84" s="27" t="n">
        <f aca="false">IF(AG84-AH84&lt;0.005,0,AG84-AH84)</f>
        <v>0</v>
      </c>
      <c r="AJ84" s="27" t="n">
        <f aca="false">G84+K84+O84+S84+W84+AA84+AE84+AI84</f>
        <v>0</v>
      </c>
      <c r="AK84" s="28" t="n">
        <f aca="false">IF(E84&gt;0,E84-N(G83),0)+IF(I84&gt;0,I84-N(K83),0)+IF(M84&gt;0,M84-N(O83),0)+IF(Q84&gt;0,Q84-N(S83),0)+IF(U84&gt;0,U84-N(W83),0)+IF(Y84&gt;0,Y84-N(AA83),0)+IF(AC84&gt;0,AC84-N(AE83),0)+IF(AG84&gt;0,AG84-N(AI83),0)</f>
        <v>0</v>
      </c>
    </row>
    <row r="85" customFormat="false" ht="15" hidden="false" customHeight="false" outlineLevel="0" collapsed="false">
      <c r="A85" s="25" t="n">
        <v>80</v>
      </c>
      <c r="B85" s="26" t="n">
        <f aca="false">EDATE('Min gæld'!$C$16,79)</f>
        <v>48792</v>
      </c>
      <c r="C85" s="27" t="n">
        <f aca="false">N('Min gæld'!$C$15)+IF(N(G84)&lt;=0.005,N('Min gæld'!$E$5),0)+IF(N(K84)&lt;=0.005,N('Min gæld'!$E$6),0)+IF(N(O84)&lt;=0.005,N('Min gæld'!$E$7),0)+IF(N(S84)&lt;=0.005,N('Min gæld'!$E$8),0)+IF(N(W84)&lt;=0.005,N('Min gæld'!$E$9),0)+IF(N(AA84)&lt;=0.005,N('Min gæld'!$E$10),0)+IF(N(AE84)&lt;=0.005,N('Min gæld'!$E$11),0)+IF(N(AI84)&lt;=0.005,N('Min gæld'!$E$12),0)</f>
        <v>4800</v>
      </c>
      <c r="D85" s="27" t="n">
        <f aca="false">MAX(0,C85)</f>
        <v>4800</v>
      </c>
      <c r="E85" s="27" t="n">
        <f aca="false">IF(N(G84)&lt;=0.005,0,N(G84)*(1+N('Min gæld'!$D$5)/12))</f>
        <v>0</v>
      </c>
      <c r="F85" s="27" t="n">
        <f aca="false">IF(E85&lt;=0,0,MIN(E85,N('Min gæld'!$E$5)+D85))</f>
        <v>0</v>
      </c>
      <c r="G85" s="27" t="n">
        <f aca="false">IF(E85-F85&lt;0.005,0,E85-F85)</f>
        <v>0</v>
      </c>
      <c r="H85" s="27" t="n">
        <f aca="false">MAX(0,IF(N(G84)&lt;=0.005,D85,D85+N('Min gæld'!$E$5)-F85))</f>
        <v>4800</v>
      </c>
      <c r="I85" s="27" t="n">
        <f aca="false">IF(N(K84)&lt;=0.005,0,N(K84)*(1+N('Min gæld'!$D$6)/12))</f>
        <v>0</v>
      </c>
      <c r="J85" s="27" t="n">
        <f aca="false">IF(I85&lt;=0,0,MIN(I85,N('Min gæld'!$E$6)+H85))</f>
        <v>0</v>
      </c>
      <c r="K85" s="27" t="n">
        <f aca="false">IF(I85-J85&lt;0.005,0,I85-J85)</f>
        <v>0</v>
      </c>
      <c r="L85" s="27" t="n">
        <f aca="false">MAX(0,IF(N(K84)&lt;=0.005,H85,H85+N('Min gæld'!$E$6)-J85))</f>
        <v>4800</v>
      </c>
      <c r="M85" s="27" t="n">
        <f aca="false">IF(N(O84)&lt;=0.005,0,N(O84)*(1+N('Min gæld'!$D$7)/12))</f>
        <v>0</v>
      </c>
      <c r="N85" s="27" t="n">
        <f aca="false">IF(M85&lt;=0,0,MIN(M85,N('Min gæld'!$E$7)+L85))</f>
        <v>0</v>
      </c>
      <c r="O85" s="27" t="n">
        <f aca="false">IF(M85-N85&lt;0.005,0,M85-N85)</f>
        <v>0</v>
      </c>
      <c r="P85" s="27" t="n">
        <f aca="false">MAX(0,IF(N(O84)&lt;=0.005,L85,L85+N('Min gæld'!$E$7)-N85))</f>
        <v>4800</v>
      </c>
      <c r="Q85" s="27" t="n">
        <f aca="false">IF(N(S84)&lt;=0.005,0,N(S84)*(1+N('Min gæld'!$D$8)/12))</f>
        <v>0</v>
      </c>
      <c r="R85" s="27" t="n">
        <f aca="false">IF(Q85&lt;=0,0,MIN(Q85,N('Min gæld'!$E$8)+P85))</f>
        <v>0</v>
      </c>
      <c r="S85" s="27" t="n">
        <f aca="false">IF(Q85-R85&lt;0.005,0,Q85-R85)</f>
        <v>0</v>
      </c>
      <c r="T85" s="27" t="n">
        <f aca="false">MAX(0,IF(N(S84)&lt;=0.005,P85,P85+N('Min gæld'!$E$8)-R85))</f>
        <v>4800</v>
      </c>
      <c r="U85" s="27" t="n">
        <f aca="false">IF(N(W84)&lt;=0.005,0,N(W84)*(1+N('Min gæld'!$D$9)/12))</f>
        <v>0</v>
      </c>
      <c r="V85" s="27" t="n">
        <f aca="false">IF(U85&lt;=0,0,MIN(U85,N('Min gæld'!$E$9)+T85))</f>
        <v>0</v>
      </c>
      <c r="W85" s="27" t="n">
        <f aca="false">IF(U85-V85&lt;0.005,0,U85-V85)</f>
        <v>0</v>
      </c>
      <c r="X85" s="27" t="n">
        <f aca="false">MAX(0,IF(N(W84)&lt;=0.005,T85,T85+N('Min gæld'!$E$9)-V85))</f>
        <v>4800</v>
      </c>
      <c r="Y85" s="27" t="n">
        <f aca="false">IF(N(AA84)&lt;=0.005,0,N(AA84)*(1+N('Min gæld'!$D$10)/12))</f>
        <v>0</v>
      </c>
      <c r="Z85" s="27" t="n">
        <f aca="false">IF(Y85&lt;=0,0,MIN(Y85,N('Min gæld'!$E$10)+X85))</f>
        <v>0</v>
      </c>
      <c r="AA85" s="27" t="n">
        <f aca="false">IF(Y85-Z85&lt;0.005,0,Y85-Z85)</f>
        <v>0</v>
      </c>
      <c r="AB85" s="27" t="n">
        <f aca="false">MAX(0,IF(N(AA84)&lt;=0.005,X85,X85+N('Min gæld'!$E$10)-Z85))</f>
        <v>4800</v>
      </c>
      <c r="AC85" s="27" t="n">
        <f aca="false">IF(N(AE84)&lt;=0.005,0,N(AE84)*(1+N('Min gæld'!$D$11)/12))</f>
        <v>0</v>
      </c>
      <c r="AD85" s="27" t="n">
        <f aca="false">IF(AC85&lt;=0,0,MIN(AC85,N('Min gæld'!$E$11)+AB85))</f>
        <v>0</v>
      </c>
      <c r="AE85" s="27" t="n">
        <f aca="false">IF(AC85-AD85&lt;0.005,0,AC85-AD85)</f>
        <v>0</v>
      </c>
      <c r="AF85" s="27" t="n">
        <f aca="false">MAX(0,IF(N(AE84)&lt;=0.005,AB85,AB85+N('Min gæld'!$E$11)-AD85))</f>
        <v>4800</v>
      </c>
      <c r="AG85" s="27" t="n">
        <f aca="false">IF(N(AI84)&lt;=0.005,0,N(AI84)*(1+N('Min gæld'!$D$12)/12))</f>
        <v>0</v>
      </c>
      <c r="AH85" s="27" t="n">
        <f aca="false">IF(AG85&lt;=0,0,MIN(AG85,N('Min gæld'!$E$12)+AF85))</f>
        <v>0</v>
      </c>
      <c r="AI85" s="27" t="n">
        <f aca="false">IF(AG85-AH85&lt;0.005,0,AG85-AH85)</f>
        <v>0</v>
      </c>
      <c r="AJ85" s="27" t="n">
        <f aca="false">G85+K85+O85+S85+W85+AA85+AE85+AI85</f>
        <v>0</v>
      </c>
      <c r="AK85" s="28" t="n">
        <f aca="false">IF(E85&gt;0,E85-N(G84),0)+IF(I85&gt;0,I85-N(K84),0)+IF(M85&gt;0,M85-N(O84),0)+IF(Q85&gt;0,Q85-N(S84),0)+IF(U85&gt;0,U85-N(W84),0)+IF(Y85&gt;0,Y85-N(AA84),0)+IF(AC85&gt;0,AC85-N(AE84),0)+IF(AG85&gt;0,AG85-N(AI84),0)</f>
        <v>0</v>
      </c>
    </row>
    <row r="86" customFormat="false" ht="15" hidden="false" customHeight="false" outlineLevel="0" collapsed="false">
      <c r="A86" s="25" t="n">
        <v>81</v>
      </c>
      <c r="B86" s="26" t="n">
        <f aca="false">EDATE('Min gæld'!$C$16,80)</f>
        <v>48823</v>
      </c>
      <c r="C86" s="27" t="n">
        <f aca="false">N('Min gæld'!$C$15)+IF(N(G85)&lt;=0.005,N('Min gæld'!$E$5),0)+IF(N(K85)&lt;=0.005,N('Min gæld'!$E$6),0)+IF(N(O85)&lt;=0.005,N('Min gæld'!$E$7),0)+IF(N(S85)&lt;=0.005,N('Min gæld'!$E$8),0)+IF(N(W85)&lt;=0.005,N('Min gæld'!$E$9),0)+IF(N(AA85)&lt;=0.005,N('Min gæld'!$E$10),0)+IF(N(AE85)&lt;=0.005,N('Min gæld'!$E$11),0)+IF(N(AI85)&lt;=0.005,N('Min gæld'!$E$12),0)</f>
        <v>4800</v>
      </c>
      <c r="D86" s="27" t="n">
        <f aca="false">MAX(0,C86)</f>
        <v>4800</v>
      </c>
      <c r="E86" s="27" t="n">
        <f aca="false">IF(N(G85)&lt;=0.005,0,N(G85)*(1+N('Min gæld'!$D$5)/12))</f>
        <v>0</v>
      </c>
      <c r="F86" s="27" t="n">
        <f aca="false">IF(E86&lt;=0,0,MIN(E86,N('Min gæld'!$E$5)+D86))</f>
        <v>0</v>
      </c>
      <c r="G86" s="27" t="n">
        <f aca="false">IF(E86-F86&lt;0.005,0,E86-F86)</f>
        <v>0</v>
      </c>
      <c r="H86" s="27" t="n">
        <f aca="false">MAX(0,IF(N(G85)&lt;=0.005,D86,D86+N('Min gæld'!$E$5)-F86))</f>
        <v>4800</v>
      </c>
      <c r="I86" s="27" t="n">
        <f aca="false">IF(N(K85)&lt;=0.005,0,N(K85)*(1+N('Min gæld'!$D$6)/12))</f>
        <v>0</v>
      </c>
      <c r="J86" s="27" t="n">
        <f aca="false">IF(I86&lt;=0,0,MIN(I86,N('Min gæld'!$E$6)+H86))</f>
        <v>0</v>
      </c>
      <c r="K86" s="27" t="n">
        <f aca="false">IF(I86-J86&lt;0.005,0,I86-J86)</f>
        <v>0</v>
      </c>
      <c r="L86" s="27" t="n">
        <f aca="false">MAX(0,IF(N(K85)&lt;=0.005,H86,H86+N('Min gæld'!$E$6)-J86))</f>
        <v>4800</v>
      </c>
      <c r="M86" s="27" t="n">
        <f aca="false">IF(N(O85)&lt;=0.005,0,N(O85)*(1+N('Min gæld'!$D$7)/12))</f>
        <v>0</v>
      </c>
      <c r="N86" s="27" t="n">
        <f aca="false">IF(M86&lt;=0,0,MIN(M86,N('Min gæld'!$E$7)+L86))</f>
        <v>0</v>
      </c>
      <c r="O86" s="27" t="n">
        <f aca="false">IF(M86-N86&lt;0.005,0,M86-N86)</f>
        <v>0</v>
      </c>
      <c r="P86" s="27" t="n">
        <f aca="false">MAX(0,IF(N(O85)&lt;=0.005,L86,L86+N('Min gæld'!$E$7)-N86))</f>
        <v>4800</v>
      </c>
      <c r="Q86" s="27" t="n">
        <f aca="false">IF(N(S85)&lt;=0.005,0,N(S85)*(1+N('Min gæld'!$D$8)/12))</f>
        <v>0</v>
      </c>
      <c r="R86" s="27" t="n">
        <f aca="false">IF(Q86&lt;=0,0,MIN(Q86,N('Min gæld'!$E$8)+P86))</f>
        <v>0</v>
      </c>
      <c r="S86" s="27" t="n">
        <f aca="false">IF(Q86-R86&lt;0.005,0,Q86-R86)</f>
        <v>0</v>
      </c>
      <c r="T86" s="27" t="n">
        <f aca="false">MAX(0,IF(N(S85)&lt;=0.005,P86,P86+N('Min gæld'!$E$8)-R86))</f>
        <v>4800</v>
      </c>
      <c r="U86" s="27" t="n">
        <f aca="false">IF(N(W85)&lt;=0.005,0,N(W85)*(1+N('Min gæld'!$D$9)/12))</f>
        <v>0</v>
      </c>
      <c r="V86" s="27" t="n">
        <f aca="false">IF(U86&lt;=0,0,MIN(U86,N('Min gæld'!$E$9)+T86))</f>
        <v>0</v>
      </c>
      <c r="W86" s="27" t="n">
        <f aca="false">IF(U86-V86&lt;0.005,0,U86-V86)</f>
        <v>0</v>
      </c>
      <c r="X86" s="27" t="n">
        <f aca="false">MAX(0,IF(N(W85)&lt;=0.005,T86,T86+N('Min gæld'!$E$9)-V86))</f>
        <v>4800</v>
      </c>
      <c r="Y86" s="27" t="n">
        <f aca="false">IF(N(AA85)&lt;=0.005,0,N(AA85)*(1+N('Min gæld'!$D$10)/12))</f>
        <v>0</v>
      </c>
      <c r="Z86" s="27" t="n">
        <f aca="false">IF(Y86&lt;=0,0,MIN(Y86,N('Min gæld'!$E$10)+X86))</f>
        <v>0</v>
      </c>
      <c r="AA86" s="27" t="n">
        <f aca="false">IF(Y86-Z86&lt;0.005,0,Y86-Z86)</f>
        <v>0</v>
      </c>
      <c r="AB86" s="27" t="n">
        <f aca="false">MAX(0,IF(N(AA85)&lt;=0.005,X86,X86+N('Min gæld'!$E$10)-Z86))</f>
        <v>4800</v>
      </c>
      <c r="AC86" s="27" t="n">
        <f aca="false">IF(N(AE85)&lt;=0.005,0,N(AE85)*(1+N('Min gæld'!$D$11)/12))</f>
        <v>0</v>
      </c>
      <c r="AD86" s="27" t="n">
        <f aca="false">IF(AC86&lt;=0,0,MIN(AC86,N('Min gæld'!$E$11)+AB86))</f>
        <v>0</v>
      </c>
      <c r="AE86" s="27" t="n">
        <f aca="false">IF(AC86-AD86&lt;0.005,0,AC86-AD86)</f>
        <v>0</v>
      </c>
      <c r="AF86" s="27" t="n">
        <f aca="false">MAX(0,IF(N(AE85)&lt;=0.005,AB86,AB86+N('Min gæld'!$E$11)-AD86))</f>
        <v>4800</v>
      </c>
      <c r="AG86" s="27" t="n">
        <f aca="false">IF(N(AI85)&lt;=0.005,0,N(AI85)*(1+N('Min gæld'!$D$12)/12))</f>
        <v>0</v>
      </c>
      <c r="AH86" s="27" t="n">
        <f aca="false">IF(AG86&lt;=0,0,MIN(AG86,N('Min gæld'!$E$12)+AF86))</f>
        <v>0</v>
      </c>
      <c r="AI86" s="27" t="n">
        <f aca="false">IF(AG86-AH86&lt;0.005,0,AG86-AH86)</f>
        <v>0</v>
      </c>
      <c r="AJ86" s="27" t="n">
        <f aca="false">G86+K86+O86+S86+W86+AA86+AE86+AI86</f>
        <v>0</v>
      </c>
      <c r="AK86" s="28" t="n">
        <f aca="false">IF(E86&gt;0,E86-N(G85),0)+IF(I86&gt;0,I86-N(K85),0)+IF(M86&gt;0,M86-N(O85),0)+IF(Q86&gt;0,Q86-N(S85),0)+IF(U86&gt;0,U86-N(W85),0)+IF(Y86&gt;0,Y86-N(AA85),0)+IF(AC86&gt;0,AC86-N(AE85),0)+IF(AG86&gt;0,AG86-N(AI85),0)</f>
        <v>0</v>
      </c>
    </row>
    <row r="87" customFormat="false" ht="15" hidden="false" customHeight="false" outlineLevel="0" collapsed="false">
      <c r="A87" s="25" t="n">
        <v>82</v>
      </c>
      <c r="B87" s="26" t="n">
        <f aca="false">EDATE('Min gæld'!$C$16,81)</f>
        <v>48853</v>
      </c>
      <c r="C87" s="27" t="n">
        <f aca="false">N('Min gæld'!$C$15)+IF(N(G86)&lt;=0.005,N('Min gæld'!$E$5),0)+IF(N(K86)&lt;=0.005,N('Min gæld'!$E$6),0)+IF(N(O86)&lt;=0.005,N('Min gæld'!$E$7),0)+IF(N(S86)&lt;=0.005,N('Min gæld'!$E$8),0)+IF(N(W86)&lt;=0.005,N('Min gæld'!$E$9),0)+IF(N(AA86)&lt;=0.005,N('Min gæld'!$E$10),0)+IF(N(AE86)&lt;=0.005,N('Min gæld'!$E$11),0)+IF(N(AI86)&lt;=0.005,N('Min gæld'!$E$12),0)</f>
        <v>4800</v>
      </c>
      <c r="D87" s="27" t="n">
        <f aca="false">MAX(0,C87)</f>
        <v>4800</v>
      </c>
      <c r="E87" s="27" t="n">
        <f aca="false">IF(N(G86)&lt;=0.005,0,N(G86)*(1+N('Min gæld'!$D$5)/12))</f>
        <v>0</v>
      </c>
      <c r="F87" s="27" t="n">
        <f aca="false">IF(E87&lt;=0,0,MIN(E87,N('Min gæld'!$E$5)+D87))</f>
        <v>0</v>
      </c>
      <c r="G87" s="27" t="n">
        <f aca="false">IF(E87-F87&lt;0.005,0,E87-F87)</f>
        <v>0</v>
      </c>
      <c r="H87" s="27" t="n">
        <f aca="false">MAX(0,IF(N(G86)&lt;=0.005,D87,D87+N('Min gæld'!$E$5)-F87))</f>
        <v>4800</v>
      </c>
      <c r="I87" s="27" t="n">
        <f aca="false">IF(N(K86)&lt;=0.005,0,N(K86)*(1+N('Min gæld'!$D$6)/12))</f>
        <v>0</v>
      </c>
      <c r="J87" s="27" t="n">
        <f aca="false">IF(I87&lt;=0,0,MIN(I87,N('Min gæld'!$E$6)+H87))</f>
        <v>0</v>
      </c>
      <c r="K87" s="27" t="n">
        <f aca="false">IF(I87-J87&lt;0.005,0,I87-J87)</f>
        <v>0</v>
      </c>
      <c r="L87" s="27" t="n">
        <f aca="false">MAX(0,IF(N(K86)&lt;=0.005,H87,H87+N('Min gæld'!$E$6)-J87))</f>
        <v>4800</v>
      </c>
      <c r="M87" s="27" t="n">
        <f aca="false">IF(N(O86)&lt;=0.005,0,N(O86)*(1+N('Min gæld'!$D$7)/12))</f>
        <v>0</v>
      </c>
      <c r="N87" s="27" t="n">
        <f aca="false">IF(M87&lt;=0,0,MIN(M87,N('Min gæld'!$E$7)+L87))</f>
        <v>0</v>
      </c>
      <c r="O87" s="27" t="n">
        <f aca="false">IF(M87-N87&lt;0.005,0,M87-N87)</f>
        <v>0</v>
      </c>
      <c r="P87" s="27" t="n">
        <f aca="false">MAX(0,IF(N(O86)&lt;=0.005,L87,L87+N('Min gæld'!$E$7)-N87))</f>
        <v>4800</v>
      </c>
      <c r="Q87" s="27" t="n">
        <f aca="false">IF(N(S86)&lt;=0.005,0,N(S86)*(1+N('Min gæld'!$D$8)/12))</f>
        <v>0</v>
      </c>
      <c r="R87" s="27" t="n">
        <f aca="false">IF(Q87&lt;=0,0,MIN(Q87,N('Min gæld'!$E$8)+P87))</f>
        <v>0</v>
      </c>
      <c r="S87" s="27" t="n">
        <f aca="false">IF(Q87-R87&lt;0.005,0,Q87-R87)</f>
        <v>0</v>
      </c>
      <c r="T87" s="27" t="n">
        <f aca="false">MAX(0,IF(N(S86)&lt;=0.005,P87,P87+N('Min gæld'!$E$8)-R87))</f>
        <v>4800</v>
      </c>
      <c r="U87" s="27" t="n">
        <f aca="false">IF(N(W86)&lt;=0.005,0,N(W86)*(1+N('Min gæld'!$D$9)/12))</f>
        <v>0</v>
      </c>
      <c r="V87" s="27" t="n">
        <f aca="false">IF(U87&lt;=0,0,MIN(U87,N('Min gæld'!$E$9)+T87))</f>
        <v>0</v>
      </c>
      <c r="W87" s="27" t="n">
        <f aca="false">IF(U87-V87&lt;0.005,0,U87-V87)</f>
        <v>0</v>
      </c>
      <c r="X87" s="27" t="n">
        <f aca="false">MAX(0,IF(N(W86)&lt;=0.005,T87,T87+N('Min gæld'!$E$9)-V87))</f>
        <v>4800</v>
      </c>
      <c r="Y87" s="27" t="n">
        <f aca="false">IF(N(AA86)&lt;=0.005,0,N(AA86)*(1+N('Min gæld'!$D$10)/12))</f>
        <v>0</v>
      </c>
      <c r="Z87" s="27" t="n">
        <f aca="false">IF(Y87&lt;=0,0,MIN(Y87,N('Min gæld'!$E$10)+X87))</f>
        <v>0</v>
      </c>
      <c r="AA87" s="27" t="n">
        <f aca="false">IF(Y87-Z87&lt;0.005,0,Y87-Z87)</f>
        <v>0</v>
      </c>
      <c r="AB87" s="27" t="n">
        <f aca="false">MAX(0,IF(N(AA86)&lt;=0.005,X87,X87+N('Min gæld'!$E$10)-Z87))</f>
        <v>4800</v>
      </c>
      <c r="AC87" s="27" t="n">
        <f aca="false">IF(N(AE86)&lt;=0.005,0,N(AE86)*(1+N('Min gæld'!$D$11)/12))</f>
        <v>0</v>
      </c>
      <c r="AD87" s="27" t="n">
        <f aca="false">IF(AC87&lt;=0,0,MIN(AC87,N('Min gæld'!$E$11)+AB87))</f>
        <v>0</v>
      </c>
      <c r="AE87" s="27" t="n">
        <f aca="false">IF(AC87-AD87&lt;0.005,0,AC87-AD87)</f>
        <v>0</v>
      </c>
      <c r="AF87" s="27" t="n">
        <f aca="false">MAX(0,IF(N(AE86)&lt;=0.005,AB87,AB87+N('Min gæld'!$E$11)-AD87))</f>
        <v>4800</v>
      </c>
      <c r="AG87" s="27" t="n">
        <f aca="false">IF(N(AI86)&lt;=0.005,0,N(AI86)*(1+N('Min gæld'!$D$12)/12))</f>
        <v>0</v>
      </c>
      <c r="AH87" s="27" t="n">
        <f aca="false">IF(AG87&lt;=0,0,MIN(AG87,N('Min gæld'!$E$12)+AF87))</f>
        <v>0</v>
      </c>
      <c r="AI87" s="27" t="n">
        <f aca="false">IF(AG87-AH87&lt;0.005,0,AG87-AH87)</f>
        <v>0</v>
      </c>
      <c r="AJ87" s="27" t="n">
        <f aca="false">G87+K87+O87+S87+W87+AA87+AE87+AI87</f>
        <v>0</v>
      </c>
      <c r="AK87" s="28" t="n">
        <f aca="false">IF(E87&gt;0,E87-N(G86),0)+IF(I87&gt;0,I87-N(K86),0)+IF(M87&gt;0,M87-N(O86),0)+IF(Q87&gt;0,Q87-N(S86),0)+IF(U87&gt;0,U87-N(W86),0)+IF(Y87&gt;0,Y87-N(AA86),0)+IF(AC87&gt;0,AC87-N(AE86),0)+IF(AG87&gt;0,AG87-N(AI86),0)</f>
        <v>0</v>
      </c>
    </row>
    <row r="88" customFormat="false" ht="15" hidden="false" customHeight="false" outlineLevel="0" collapsed="false">
      <c r="A88" s="25" t="n">
        <v>83</v>
      </c>
      <c r="B88" s="26" t="n">
        <f aca="false">EDATE('Min gæld'!$C$16,82)</f>
        <v>48884</v>
      </c>
      <c r="C88" s="27" t="n">
        <f aca="false">N('Min gæld'!$C$15)+IF(N(G87)&lt;=0.005,N('Min gæld'!$E$5),0)+IF(N(K87)&lt;=0.005,N('Min gæld'!$E$6),0)+IF(N(O87)&lt;=0.005,N('Min gæld'!$E$7),0)+IF(N(S87)&lt;=0.005,N('Min gæld'!$E$8),0)+IF(N(W87)&lt;=0.005,N('Min gæld'!$E$9),0)+IF(N(AA87)&lt;=0.005,N('Min gæld'!$E$10),0)+IF(N(AE87)&lt;=0.005,N('Min gæld'!$E$11),0)+IF(N(AI87)&lt;=0.005,N('Min gæld'!$E$12),0)</f>
        <v>4800</v>
      </c>
      <c r="D88" s="27" t="n">
        <f aca="false">MAX(0,C88)</f>
        <v>4800</v>
      </c>
      <c r="E88" s="27" t="n">
        <f aca="false">IF(N(G87)&lt;=0.005,0,N(G87)*(1+N('Min gæld'!$D$5)/12))</f>
        <v>0</v>
      </c>
      <c r="F88" s="27" t="n">
        <f aca="false">IF(E88&lt;=0,0,MIN(E88,N('Min gæld'!$E$5)+D88))</f>
        <v>0</v>
      </c>
      <c r="G88" s="27" t="n">
        <f aca="false">IF(E88-F88&lt;0.005,0,E88-F88)</f>
        <v>0</v>
      </c>
      <c r="H88" s="27" t="n">
        <f aca="false">MAX(0,IF(N(G87)&lt;=0.005,D88,D88+N('Min gæld'!$E$5)-F88))</f>
        <v>4800</v>
      </c>
      <c r="I88" s="27" t="n">
        <f aca="false">IF(N(K87)&lt;=0.005,0,N(K87)*(1+N('Min gæld'!$D$6)/12))</f>
        <v>0</v>
      </c>
      <c r="J88" s="27" t="n">
        <f aca="false">IF(I88&lt;=0,0,MIN(I88,N('Min gæld'!$E$6)+H88))</f>
        <v>0</v>
      </c>
      <c r="K88" s="27" t="n">
        <f aca="false">IF(I88-J88&lt;0.005,0,I88-J88)</f>
        <v>0</v>
      </c>
      <c r="L88" s="27" t="n">
        <f aca="false">MAX(0,IF(N(K87)&lt;=0.005,H88,H88+N('Min gæld'!$E$6)-J88))</f>
        <v>4800</v>
      </c>
      <c r="M88" s="27" t="n">
        <f aca="false">IF(N(O87)&lt;=0.005,0,N(O87)*(1+N('Min gæld'!$D$7)/12))</f>
        <v>0</v>
      </c>
      <c r="N88" s="27" t="n">
        <f aca="false">IF(M88&lt;=0,0,MIN(M88,N('Min gæld'!$E$7)+L88))</f>
        <v>0</v>
      </c>
      <c r="O88" s="27" t="n">
        <f aca="false">IF(M88-N88&lt;0.005,0,M88-N88)</f>
        <v>0</v>
      </c>
      <c r="P88" s="27" t="n">
        <f aca="false">MAX(0,IF(N(O87)&lt;=0.005,L88,L88+N('Min gæld'!$E$7)-N88))</f>
        <v>4800</v>
      </c>
      <c r="Q88" s="27" t="n">
        <f aca="false">IF(N(S87)&lt;=0.005,0,N(S87)*(1+N('Min gæld'!$D$8)/12))</f>
        <v>0</v>
      </c>
      <c r="R88" s="27" t="n">
        <f aca="false">IF(Q88&lt;=0,0,MIN(Q88,N('Min gæld'!$E$8)+P88))</f>
        <v>0</v>
      </c>
      <c r="S88" s="27" t="n">
        <f aca="false">IF(Q88-R88&lt;0.005,0,Q88-R88)</f>
        <v>0</v>
      </c>
      <c r="T88" s="27" t="n">
        <f aca="false">MAX(0,IF(N(S87)&lt;=0.005,P88,P88+N('Min gæld'!$E$8)-R88))</f>
        <v>4800</v>
      </c>
      <c r="U88" s="27" t="n">
        <f aca="false">IF(N(W87)&lt;=0.005,0,N(W87)*(1+N('Min gæld'!$D$9)/12))</f>
        <v>0</v>
      </c>
      <c r="V88" s="27" t="n">
        <f aca="false">IF(U88&lt;=0,0,MIN(U88,N('Min gæld'!$E$9)+T88))</f>
        <v>0</v>
      </c>
      <c r="W88" s="27" t="n">
        <f aca="false">IF(U88-V88&lt;0.005,0,U88-V88)</f>
        <v>0</v>
      </c>
      <c r="X88" s="27" t="n">
        <f aca="false">MAX(0,IF(N(W87)&lt;=0.005,T88,T88+N('Min gæld'!$E$9)-V88))</f>
        <v>4800</v>
      </c>
      <c r="Y88" s="27" t="n">
        <f aca="false">IF(N(AA87)&lt;=0.005,0,N(AA87)*(1+N('Min gæld'!$D$10)/12))</f>
        <v>0</v>
      </c>
      <c r="Z88" s="27" t="n">
        <f aca="false">IF(Y88&lt;=0,0,MIN(Y88,N('Min gæld'!$E$10)+X88))</f>
        <v>0</v>
      </c>
      <c r="AA88" s="27" t="n">
        <f aca="false">IF(Y88-Z88&lt;0.005,0,Y88-Z88)</f>
        <v>0</v>
      </c>
      <c r="AB88" s="27" t="n">
        <f aca="false">MAX(0,IF(N(AA87)&lt;=0.005,X88,X88+N('Min gæld'!$E$10)-Z88))</f>
        <v>4800</v>
      </c>
      <c r="AC88" s="27" t="n">
        <f aca="false">IF(N(AE87)&lt;=0.005,0,N(AE87)*(1+N('Min gæld'!$D$11)/12))</f>
        <v>0</v>
      </c>
      <c r="AD88" s="27" t="n">
        <f aca="false">IF(AC88&lt;=0,0,MIN(AC88,N('Min gæld'!$E$11)+AB88))</f>
        <v>0</v>
      </c>
      <c r="AE88" s="27" t="n">
        <f aca="false">IF(AC88-AD88&lt;0.005,0,AC88-AD88)</f>
        <v>0</v>
      </c>
      <c r="AF88" s="27" t="n">
        <f aca="false">MAX(0,IF(N(AE87)&lt;=0.005,AB88,AB88+N('Min gæld'!$E$11)-AD88))</f>
        <v>4800</v>
      </c>
      <c r="AG88" s="27" t="n">
        <f aca="false">IF(N(AI87)&lt;=0.005,0,N(AI87)*(1+N('Min gæld'!$D$12)/12))</f>
        <v>0</v>
      </c>
      <c r="AH88" s="27" t="n">
        <f aca="false">IF(AG88&lt;=0,0,MIN(AG88,N('Min gæld'!$E$12)+AF88))</f>
        <v>0</v>
      </c>
      <c r="AI88" s="27" t="n">
        <f aca="false">IF(AG88-AH88&lt;0.005,0,AG88-AH88)</f>
        <v>0</v>
      </c>
      <c r="AJ88" s="27" t="n">
        <f aca="false">G88+K88+O88+S88+W88+AA88+AE88+AI88</f>
        <v>0</v>
      </c>
      <c r="AK88" s="28" t="n">
        <f aca="false">IF(E88&gt;0,E88-N(G87),0)+IF(I88&gt;0,I88-N(K87),0)+IF(M88&gt;0,M88-N(O87),0)+IF(Q88&gt;0,Q88-N(S87),0)+IF(U88&gt;0,U88-N(W87),0)+IF(Y88&gt;0,Y88-N(AA87),0)+IF(AC88&gt;0,AC88-N(AE87),0)+IF(AG88&gt;0,AG88-N(AI87),0)</f>
        <v>0</v>
      </c>
    </row>
    <row r="89" customFormat="false" ht="15" hidden="false" customHeight="false" outlineLevel="0" collapsed="false">
      <c r="A89" s="25" t="n">
        <v>84</v>
      </c>
      <c r="B89" s="26" t="n">
        <f aca="false">EDATE('Min gæld'!$C$16,83)</f>
        <v>48914</v>
      </c>
      <c r="C89" s="27" t="n">
        <f aca="false">N('Min gæld'!$C$15)+IF(N(G88)&lt;=0.005,N('Min gæld'!$E$5),0)+IF(N(K88)&lt;=0.005,N('Min gæld'!$E$6),0)+IF(N(O88)&lt;=0.005,N('Min gæld'!$E$7),0)+IF(N(S88)&lt;=0.005,N('Min gæld'!$E$8),0)+IF(N(W88)&lt;=0.005,N('Min gæld'!$E$9),0)+IF(N(AA88)&lt;=0.005,N('Min gæld'!$E$10),0)+IF(N(AE88)&lt;=0.005,N('Min gæld'!$E$11),0)+IF(N(AI88)&lt;=0.005,N('Min gæld'!$E$12),0)</f>
        <v>4800</v>
      </c>
      <c r="D89" s="27" t="n">
        <f aca="false">MAX(0,C89)</f>
        <v>4800</v>
      </c>
      <c r="E89" s="27" t="n">
        <f aca="false">IF(N(G88)&lt;=0.005,0,N(G88)*(1+N('Min gæld'!$D$5)/12))</f>
        <v>0</v>
      </c>
      <c r="F89" s="27" t="n">
        <f aca="false">IF(E89&lt;=0,0,MIN(E89,N('Min gæld'!$E$5)+D89))</f>
        <v>0</v>
      </c>
      <c r="G89" s="27" t="n">
        <f aca="false">IF(E89-F89&lt;0.005,0,E89-F89)</f>
        <v>0</v>
      </c>
      <c r="H89" s="27" t="n">
        <f aca="false">MAX(0,IF(N(G88)&lt;=0.005,D89,D89+N('Min gæld'!$E$5)-F89))</f>
        <v>4800</v>
      </c>
      <c r="I89" s="27" t="n">
        <f aca="false">IF(N(K88)&lt;=0.005,0,N(K88)*(1+N('Min gæld'!$D$6)/12))</f>
        <v>0</v>
      </c>
      <c r="J89" s="27" t="n">
        <f aca="false">IF(I89&lt;=0,0,MIN(I89,N('Min gæld'!$E$6)+H89))</f>
        <v>0</v>
      </c>
      <c r="K89" s="27" t="n">
        <f aca="false">IF(I89-J89&lt;0.005,0,I89-J89)</f>
        <v>0</v>
      </c>
      <c r="L89" s="27" t="n">
        <f aca="false">MAX(0,IF(N(K88)&lt;=0.005,H89,H89+N('Min gæld'!$E$6)-J89))</f>
        <v>4800</v>
      </c>
      <c r="M89" s="27" t="n">
        <f aca="false">IF(N(O88)&lt;=0.005,0,N(O88)*(1+N('Min gæld'!$D$7)/12))</f>
        <v>0</v>
      </c>
      <c r="N89" s="27" t="n">
        <f aca="false">IF(M89&lt;=0,0,MIN(M89,N('Min gæld'!$E$7)+L89))</f>
        <v>0</v>
      </c>
      <c r="O89" s="27" t="n">
        <f aca="false">IF(M89-N89&lt;0.005,0,M89-N89)</f>
        <v>0</v>
      </c>
      <c r="P89" s="27" t="n">
        <f aca="false">MAX(0,IF(N(O88)&lt;=0.005,L89,L89+N('Min gæld'!$E$7)-N89))</f>
        <v>4800</v>
      </c>
      <c r="Q89" s="27" t="n">
        <f aca="false">IF(N(S88)&lt;=0.005,0,N(S88)*(1+N('Min gæld'!$D$8)/12))</f>
        <v>0</v>
      </c>
      <c r="R89" s="27" t="n">
        <f aca="false">IF(Q89&lt;=0,0,MIN(Q89,N('Min gæld'!$E$8)+P89))</f>
        <v>0</v>
      </c>
      <c r="S89" s="27" t="n">
        <f aca="false">IF(Q89-R89&lt;0.005,0,Q89-R89)</f>
        <v>0</v>
      </c>
      <c r="T89" s="27" t="n">
        <f aca="false">MAX(0,IF(N(S88)&lt;=0.005,P89,P89+N('Min gæld'!$E$8)-R89))</f>
        <v>4800</v>
      </c>
      <c r="U89" s="27" t="n">
        <f aca="false">IF(N(W88)&lt;=0.005,0,N(W88)*(1+N('Min gæld'!$D$9)/12))</f>
        <v>0</v>
      </c>
      <c r="V89" s="27" t="n">
        <f aca="false">IF(U89&lt;=0,0,MIN(U89,N('Min gæld'!$E$9)+T89))</f>
        <v>0</v>
      </c>
      <c r="W89" s="27" t="n">
        <f aca="false">IF(U89-V89&lt;0.005,0,U89-V89)</f>
        <v>0</v>
      </c>
      <c r="X89" s="27" t="n">
        <f aca="false">MAX(0,IF(N(W88)&lt;=0.005,T89,T89+N('Min gæld'!$E$9)-V89))</f>
        <v>4800</v>
      </c>
      <c r="Y89" s="27" t="n">
        <f aca="false">IF(N(AA88)&lt;=0.005,0,N(AA88)*(1+N('Min gæld'!$D$10)/12))</f>
        <v>0</v>
      </c>
      <c r="Z89" s="27" t="n">
        <f aca="false">IF(Y89&lt;=0,0,MIN(Y89,N('Min gæld'!$E$10)+X89))</f>
        <v>0</v>
      </c>
      <c r="AA89" s="27" t="n">
        <f aca="false">IF(Y89-Z89&lt;0.005,0,Y89-Z89)</f>
        <v>0</v>
      </c>
      <c r="AB89" s="27" t="n">
        <f aca="false">MAX(0,IF(N(AA88)&lt;=0.005,X89,X89+N('Min gæld'!$E$10)-Z89))</f>
        <v>4800</v>
      </c>
      <c r="AC89" s="27" t="n">
        <f aca="false">IF(N(AE88)&lt;=0.005,0,N(AE88)*(1+N('Min gæld'!$D$11)/12))</f>
        <v>0</v>
      </c>
      <c r="AD89" s="27" t="n">
        <f aca="false">IF(AC89&lt;=0,0,MIN(AC89,N('Min gæld'!$E$11)+AB89))</f>
        <v>0</v>
      </c>
      <c r="AE89" s="27" t="n">
        <f aca="false">IF(AC89-AD89&lt;0.005,0,AC89-AD89)</f>
        <v>0</v>
      </c>
      <c r="AF89" s="27" t="n">
        <f aca="false">MAX(0,IF(N(AE88)&lt;=0.005,AB89,AB89+N('Min gæld'!$E$11)-AD89))</f>
        <v>4800</v>
      </c>
      <c r="AG89" s="27" t="n">
        <f aca="false">IF(N(AI88)&lt;=0.005,0,N(AI88)*(1+N('Min gæld'!$D$12)/12))</f>
        <v>0</v>
      </c>
      <c r="AH89" s="27" t="n">
        <f aca="false">IF(AG89&lt;=0,0,MIN(AG89,N('Min gæld'!$E$12)+AF89))</f>
        <v>0</v>
      </c>
      <c r="AI89" s="27" t="n">
        <f aca="false">IF(AG89-AH89&lt;0.005,0,AG89-AH89)</f>
        <v>0</v>
      </c>
      <c r="AJ89" s="27" t="n">
        <f aca="false">G89+K89+O89+S89+W89+AA89+AE89+AI89</f>
        <v>0</v>
      </c>
      <c r="AK89" s="28" t="n">
        <f aca="false">IF(E89&gt;0,E89-N(G88),0)+IF(I89&gt;0,I89-N(K88),0)+IF(M89&gt;0,M89-N(O88),0)+IF(Q89&gt;0,Q89-N(S88),0)+IF(U89&gt;0,U89-N(W88),0)+IF(Y89&gt;0,Y89-N(AA88),0)+IF(AC89&gt;0,AC89-N(AE88),0)+IF(AG89&gt;0,AG89-N(AI88),0)</f>
        <v>0</v>
      </c>
    </row>
    <row r="90" customFormat="false" ht="15" hidden="false" customHeight="false" outlineLevel="0" collapsed="false">
      <c r="A90" s="25" t="n">
        <v>85</v>
      </c>
      <c r="B90" s="26" t="n">
        <f aca="false">EDATE('Min gæld'!$C$16,84)</f>
        <v>48945</v>
      </c>
      <c r="C90" s="27" t="n">
        <f aca="false">N('Min gæld'!$C$15)+IF(N(G89)&lt;=0.005,N('Min gæld'!$E$5),0)+IF(N(K89)&lt;=0.005,N('Min gæld'!$E$6),0)+IF(N(O89)&lt;=0.005,N('Min gæld'!$E$7),0)+IF(N(S89)&lt;=0.005,N('Min gæld'!$E$8),0)+IF(N(W89)&lt;=0.005,N('Min gæld'!$E$9),0)+IF(N(AA89)&lt;=0.005,N('Min gæld'!$E$10),0)+IF(N(AE89)&lt;=0.005,N('Min gæld'!$E$11),0)+IF(N(AI89)&lt;=0.005,N('Min gæld'!$E$12),0)</f>
        <v>4800</v>
      </c>
      <c r="D90" s="27" t="n">
        <f aca="false">MAX(0,C90)</f>
        <v>4800</v>
      </c>
      <c r="E90" s="27" t="n">
        <f aca="false">IF(N(G89)&lt;=0.005,0,N(G89)*(1+N('Min gæld'!$D$5)/12))</f>
        <v>0</v>
      </c>
      <c r="F90" s="27" t="n">
        <f aca="false">IF(E90&lt;=0,0,MIN(E90,N('Min gæld'!$E$5)+D90))</f>
        <v>0</v>
      </c>
      <c r="G90" s="27" t="n">
        <f aca="false">IF(E90-F90&lt;0.005,0,E90-F90)</f>
        <v>0</v>
      </c>
      <c r="H90" s="27" t="n">
        <f aca="false">MAX(0,IF(N(G89)&lt;=0.005,D90,D90+N('Min gæld'!$E$5)-F90))</f>
        <v>4800</v>
      </c>
      <c r="I90" s="27" t="n">
        <f aca="false">IF(N(K89)&lt;=0.005,0,N(K89)*(1+N('Min gæld'!$D$6)/12))</f>
        <v>0</v>
      </c>
      <c r="J90" s="27" t="n">
        <f aca="false">IF(I90&lt;=0,0,MIN(I90,N('Min gæld'!$E$6)+H90))</f>
        <v>0</v>
      </c>
      <c r="K90" s="27" t="n">
        <f aca="false">IF(I90-J90&lt;0.005,0,I90-J90)</f>
        <v>0</v>
      </c>
      <c r="L90" s="27" t="n">
        <f aca="false">MAX(0,IF(N(K89)&lt;=0.005,H90,H90+N('Min gæld'!$E$6)-J90))</f>
        <v>4800</v>
      </c>
      <c r="M90" s="27" t="n">
        <f aca="false">IF(N(O89)&lt;=0.005,0,N(O89)*(1+N('Min gæld'!$D$7)/12))</f>
        <v>0</v>
      </c>
      <c r="N90" s="27" t="n">
        <f aca="false">IF(M90&lt;=0,0,MIN(M90,N('Min gæld'!$E$7)+L90))</f>
        <v>0</v>
      </c>
      <c r="O90" s="27" t="n">
        <f aca="false">IF(M90-N90&lt;0.005,0,M90-N90)</f>
        <v>0</v>
      </c>
      <c r="P90" s="27" t="n">
        <f aca="false">MAX(0,IF(N(O89)&lt;=0.005,L90,L90+N('Min gæld'!$E$7)-N90))</f>
        <v>4800</v>
      </c>
      <c r="Q90" s="27" t="n">
        <f aca="false">IF(N(S89)&lt;=0.005,0,N(S89)*(1+N('Min gæld'!$D$8)/12))</f>
        <v>0</v>
      </c>
      <c r="R90" s="27" t="n">
        <f aca="false">IF(Q90&lt;=0,0,MIN(Q90,N('Min gæld'!$E$8)+P90))</f>
        <v>0</v>
      </c>
      <c r="S90" s="27" t="n">
        <f aca="false">IF(Q90-R90&lt;0.005,0,Q90-R90)</f>
        <v>0</v>
      </c>
      <c r="T90" s="27" t="n">
        <f aca="false">MAX(0,IF(N(S89)&lt;=0.005,P90,P90+N('Min gæld'!$E$8)-R90))</f>
        <v>4800</v>
      </c>
      <c r="U90" s="27" t="n">
        <f aca="false">IF(N(W89)&lt;=0.005,0,N(W89)*(1+N('Min gæld'!$D$9)/12))</f>
        <v>0</v>
      </c>
      <c r="V90" s="27" t="n">
        <f aca="false">IF(U90&lt;=0,0,MIN(U90,N('Min gæld'!$E$9)+T90))</f>
        <v>0</v>
      </c>
      <c r="W90" s="27" t="n">
        <f aca="false">IF(U90-V90&lt;0.005,0,U90-V90)</f>
        <v>0</v>
      </c>
      <c r="X90" s="27" t="n">
        <f aca="false">MAX(0,IF(N(W89)&lt;=0.005,T90,T90+N('Min gæld'!$E$9)-V90))</f>
        <v>4800</v>
      </c>
      <c r="Y90" s="27" t="n">
        <f aca="false">IF(N(AA89)&lt;=0.005,0,N(AA89)*(1+N('Min gæld'!$D$10)/12))</f>
        <v>0</v>
      </c>
      <c r="Z90" s="27" t="n">
        <f aca="false">IF(Y90&lt;=0,0,MIN(Y90,N('Min gæld'!$E$10)+X90))</f>
        <v>0</v>
      </c>
      <c r="AA90" s="27" t="n">
        <f aca="false">IF(Y90-Z90&lt;0.005,0,Y90-Z90)</f>
        <v>0</v>
      </c>
      <c r="AB90" s="27" t="n">
        <f aca="false">MAX(0,IF(N(AA89)&lt;=0.005,X90,X90+N('Min gæld'!$E$10)-Z90))</f>
        <v>4800</v>
      </c>
      <c r="AC90" s="27" t="n">
        <f aca="false">IF(N(AE89)&lt;=0.005,0,N(AE89)*(1+N('Min gæld'!$D$11)/12))</f>
        <v>0</v>
      </c>
      <c r="AD90" s="27" t="n">
        <f aca="false">IF(AC90&lt;=0,0,MIN(AC90,N('Min gæld'!$E$11)+AB90))</f>
        <v>0</v>
      </c>
      <c r="AE90" s="27" t="n">
        <f aca="false">IF(AC90-AD90&lt;0.005,0,AC90-AD90)</f>
        <v>0</v>
      </c>
      <c r="AF90" s="27" t="n">
        <f aca="false">MAX(0,IF(N(AE89)&lt;=0.005,AB90,AB90+N('Min gæld'!$E$11)-AD90))</f>
        <v>4800</v>
      </c>
      <c r="AG90" s="27" t="n">
        <f aca="false">IF(N(AI89)&lt;=0.005,0,N(AI89)*(1+N('Min gæld'!$D$12)/12))</f>
        <v>0</v>
      </c>
      <c r="AH90" s="27" t="n">
        <f aca="false">IF(AG90&lt;=0,0,MIN(AG90,N('Min gæld'!$E$12)+AF90))</f>
        <v>0</v>
      </c>
      <c r="AI90" s="27" t="n">
        <f aca="false">IF(AG90-AH90&lt;0.005,0,AG90-AH90)</f>
        <v>0</v>
      </c>
      <c r="AJ90" s="27" t="n">
        <f aca="false">G90+K90+O90+S90+W90+AA90+AE90+AI90</f>
        <v>0</v>
      </c>
      <c r="AK90" s="28" t="n">
        <f aca="false">IF(E90&gt;0,E90-N(G89),0)+IF(I90&gt;0,I90-N(K89),0)+IF(M90&gt;0,M90-N(O89),0)+IF(Q90&gt;0,Q90-N(S89),0)+IF(U90&gt;0,U90-N(W89),0)+IF(Y90&gt;0,Y90-N(AA89),0)+IF(AC90&gt;0,AC90-N(AE89),0)+IF(AG90&gt;0,AG90-N(AI89),0)</f>
        <v>0</v>
      </c>
    </row>
    <row r="91" customFormat="false" ht="15" hidden="false" customHeight="false" outlineLevel="0" collapsed="false">
      <c r="A91" s="25" t="n">
        <v>86</v>
      </c>
      <c r="B91" s="26" t="n">
        <f aca="false">EDATE('Min gæld'!$C$16,85)</f>
        <v>48976</v>
      </c>
      <c r="C91" s="27" t="n">
        <f aca="false">N('Min gæld'!$C$15)+IF(N(G90)&lt;=0.005,N('Min gæld'!$E$5),0)+IF(N(K90)&lt;=0.005,N('Min gæld'!$E$6),0)+IF(N(O90)&lt;=0.005,N('Min gæld'!$E$7),0)+IF(N(S90)&lt;=0.005,N('Min gæld'!$E$8),0)+IF(N(W90)&lt;=0.005,N('Min gæld'!$E$9),0)+IF(N(AA90)&lt;=0.005,N('Min gæld'!$E$10),0)+IF(N(AE90)&lt;=0.005,N('Min gæld'!$E$11),0)+IF(N(AI90)&lt;=0.005,N('Min gæld'!$E$12),0)</f>
        <v>4800</v>
      </c>
      <c r="D91" s="27" t="n">
        <f aca="false">MAX(0,C91)</f>
        <v>4800</v>
      </c>
      <c r="E91" s="27" t="n">
        <f aca="false">IF(N(G90)&lt;=0.005,0,N(G90)*(1+N('Min gæld'!$D$5)/12))</f>
        <v>0</v>
      </c>
      <c r="F91" s="27" t="n">
        <f aca="false">IF(E91&lt;=0,0,MIN(E91,N('Min gæld'!$E$5)+D91))</f>
        <v>0</v>
      </c>
      <c r="G91" s="27" t="n">
        <f aca="false">IF(E91-F91&lt;0.005,0,E91-F91)</f>
        <v>0</v>
      </c>
      <c r="H91" s="27" t="n">
        <f aca="false">MAX(0,IF(N(G90)&lt;=0.005,D91,D91+N('Min gæld'!$E$5)-F91))</f>
        <v>4800</v>
      </c>
      <c r="I91" s="27" t="n">
        <f aca="false">IF(N(K90)&lt;=0.005,0,N(K90)*(1+N('Min gæld'!$D$6)/12))</f>
        <v>0</v>
      </c>
      <c r="J91" s="27" t="n">
        <f aca="false">IF(I91&lt;=0,0,MIN(I91,N('Min gæld'!$E$6)+H91))</f>
        <v>0</v>
      </c>
      <c r="K91" s="27" t="n">
        <f aca="false">IF(I91-J91&lt;0.005,0,I91-J91)</f>
        <v>0</v>
      </c>
      <c r="L91" s="27" t="n">
        <f aca="false">MAX(0,IF(N(K90)&lt;=0.005,H91,H91+N('Min gæld'!$E$6)-J91))</f>
        <v>4800</v>
      </c>
      <c r="M91" s="27" t="n">
        <f aca="false">IF(N(O90)&lt;=0.005,0,N(O90)*(1+N('Min gæld'!$D$7)/12))</f>
        <v>0</v>
      </c>
      <c r="N91" s="27" t="n">
        <f aca="false">IF(M91&lt;=0,0,MIN(M91,N('Min gæld'!$E$7)+L91))</f>
        <v>0</v>
      </c>
      <c r="O91" s="27" t="n">
        <f aca="false">IF(M91-N91&lt;0.005,0,M91-N91)</f>
        <v>0</v>
      </c>
      <c r="P91" s="27" t="n">
        <f aca="false">MAX(0,IF(N(O90)&lt;=0.005,L91,L91+N('Min gæld'!$E$7)-N91))</f>
        <v>4800</v>
      </c>
      <c r="Q91" s="27" t="n">
        <f aca="false">IF(N(S90)&lt;=0.005,0,N(S90)*(1+N('Min gæld'!$D$8)/12))</f>
        <v>0</v>
      </c>
      <c r="R91" s="27" t="n">
        <f aca="false">IF(Q91&lt;=0,0,MIN(Q91,N('Min gæld'!$E$8)+P91))</f>
        <v>0</v>
      </c>
      <c r="S91" s="27" t="n">
        <f aca="false">IF(Q91-R91&lt;0.005,0,Q91-R91)</f>
        <v>0</v>
      </c>
      <c r="T91" s="27" t="n">
        <f aca="false">MAX(0,IF(N(S90)&lt;=0.005,P91,P91+N('Min gæld'!$E$8)-R91))</f>
        <v>4800</v>
      </c>
      <c r="U91" s="27" t="n">
        <f aca="false">IF(N(W90)&lt;=0.005,0,N(W90)*(1+N('Min gæld'!$D$9)/12))</f>
        <v>0</v>
      </c>
      <c r="V91" s="27" t="n">
        <f aca="false">IF(U91&lt;=0,0,MIN(U91,N('Min gæld'!$E$9)+T91))</f>
        <v>0</v>
      </c>
      <c r="W91" s="27" t="n">
        <f aca="false">IF(U91-V91&lt;0.005,0,U91-V91)</f>
        <v>0</v>
      </c>
      <c r="X91" s="27" t="n">
        <f aca="false">MAX(0,IF(N(W90)&lt;=0.005,T91,T91+N('Min gæld'!$E$9)-V91))</f>
        <v>4800</v>
      </c>
      <c r="Y91" s="27" t="n">
        <f aca="false">IF(N(AA90)&lt;=0.005,0,N(AA90)*(1+N('Min gæld'!$D$10)/12))</f>
        <v>0</v>
      </c>
      <c r="Z91" s="27" t="n">
        <f aca="false">IF(Y91&lt;=0,0,MIN(Y91,N('Min gæld'!$E$10)+X91))</f>
        <v>0</v>
      </c>
      <c r="AA91" s="27" t="n">
        <f aca="false">IF(Y91-Z91&lt;0.005,0,Y91-Z91)</f>
        <v>0</v>
      </c>
      <c r="AB91" s="27" t="n">
        <f aca="false">MAX(0,IF(N(AA90)&lt;=0.005,X91,X91+N('Min gæld'!$E$10)-Z91))</f>
        <v>4800</v>
      </c>
      <c r="AC91" s="27" t="n">
        <f aca="false">IF(N(AE90)&lt;=0.005,0,N(AE90)*(1+N('Min gæld'!$D$11)/12))</f>
        <v>0</v>
      </c>
      <c r="AD91" s="27" t="n">
        <f aca="false">IF(AC91&lt;=0,0,MIN(AC91,N('Min gæld'!$E$11)+AB91))</f>
        <v>0</v>
      </c>
      <c r="AE91" s="27" t="n">
        <f aca="false">IF(AC91-AD91&lt;0.005,0,AC91-AD91)</f>
        <v>0</v>
      </c>
      <c r="AF91" s="27" t="n">
        <f aca="false">MAX(0,IF(N(AE90)&lt;=0.005,AB91,AB91+N('Min gæld'!$E$11)-AD91))</f>
        <v>4800</v>
      </c>
      <c r="AG91" s="27" t="n">
        <f aca="false">IF(N(AI90)&lt;=0.005,0,N(AI90)*(1+N('Min gæld'!$D$12)/12))</f>
        <v>0</v>
      </c>
      <c r="AH91" s="27" t="n">
        <f aca="false">IF(AG91&lt;=0,0,MIN(AG91,N('Min gæld'!$E$12)+AF91))</f>
        <v>0</v>
      </c>
      <c r="AI91" s="27" t="n">
        <f aca="false">IF(AG91-AH91&lt;0.005,0,AG91-AH91)</f>
        <v>0</v>
      </c>
      <c r="AJ91" s="27" t="n">
        <f aca="false">G91+K91+O91+S91+W91+AA91+AE91+AI91</f>
        <v>0</v>
      </c>
      <c r="AK91" s="28" t="n">
        <f aca="false">IF(E91&gt;0,E91-N(G90),0)+IF(I91&gt;0,I91-N(K90),0)+IF(M91&gt;0,M91-N(O90),0)+IF(Q91&gt;0,Q91-N(S90),0)+IF(U91&gt;0,U91-N(W90),0)+IF(Y91&gt;0,Y91-N(AA90),0)+IF(AC91&gt;0,AC91-N(AE90),0)+IF(AG91&gt;0,AG91-N(AI90),0)</f>
        <v>0</v>
      </c>
    </row>
    <row r="92" customFormat="false" ht="15" hidden="false" customHeight="false" outlineLevel="0" collapsed="false">
      <c r="A92" s="25" t="n">
        <v>87</v>
      </c>
      <c r="B92" s="26" t="n">
        <f aca="false">EDATE('Min gæld'!$C$16,86)</f>
        <v>49004</v>
      </c>
      <c r="C92" s="27" t="n">
        <f aca="false">N('Min gæld'!$C$15)+IF(N(G91)&lt;=0.005,N('Min gæld'!$E$5),0)+IF(N(K91)&lt;=0.005,N('Min gæld'!$E$6),0)+IF(N(O91)&lt;=0.005,N('Min gæld'!$E$7),0)+IF(N(S91)&lt;=0.005,N('Min gæld'!$E$8),0)+IF(N(W91)&lt;=0.005,N('Min gæld'!$E$9),0)+IF(N(AA91)&lt;=0.005,N('Min gæld'!$E$10),0)+IF(N(AE91)&lt;=0.005,N('Min gæld'!$E$11),0)+IF(N(AI91)&lt;=0.005,N('Min gæld'!$E$12),0)</f>
        <v>4800</v>
      </c>
      <c r="D92" s="27" t="n">
        <f aca="false">MAX(0,C92)</f>
        <v>4800</v>
      </c>
      <c r="E92" s="27" t="n">
        <f aca="false">IF(N(G91)&lt;=0.005,0,N(G91)*(1+N('Min gæld'!$D$5)/12))</f>
        <v>0</v>
      </c>
      <c r="F92" s="27" t="n">
        <f aca="false">IF(E92&lt;=0,0,MIN(E92,N('Min gæld'!$E$5)+D92))</f>
        <v>0</v>
      </c>
      <c r="G92" s="27" t="n">
        <f aca="false">IF(E92-F92&lt;0.005,0,E92-F92)</f>
        <v>0</v>
      </c>
      <c r="H92" s="27" t="n">
        <f aca="false">MAX(0,IF(N(G91)&lt;=0.005,D92,D92+N('Min gæld'!$E$5)-F92))</f>
        <v>4800</v>
      </c>
      <c r="I92" s="27" t="n">
        <f aca="false">IF(N(K91)&lt;=0.005,0,N(K91)*(1+N('Min gæld'!$D$6)/12))</f>
        <v>0</v>
      </c>
      <c r="J92" s="27" t="n">
        <f aca="false">IF(I92&lt;=0,0,MIN(I92,N('Min gæld'!$E$6)+H92))</f>
        <v>0</v>
      </c>
      <c r="K92" s="27" t="n">
        <f aca="false">IF(I92-J92&lt;0.005,0,I92-J92)</f>
        <v>0</v>
      </c>
      <c r="L92" s="27" t="n">
        <f aca="false">MAX(0,IF(N(K91)&lt;=0.005,H92,H92+N('Min gæld'!$E$6)-J92))</f>
        <v>4800</v>
      </c>
      <c r="M92" s="27" t="n">
        <f aca="false">IF(N(O91)&lt;=0.005,0,N(O91)*(1+N('Min gæld'!$D$7)/12))</f>
        <v>0</v>
      </c>
      <c r="N92" s="27" t="n">
        <f aca="false">IF(M92&lt;=0,0,MIN(M92,N('Min gæld'!$E$7)+L92))</f>
        <v>0</v>
      </c>
      <c r="O92" s="27" t="n">
        <f aca="false">IF(M92-N92&lt;0.005,0,M92-N92)</f>
        <v>0</v>
      </c>
      <c r="P92" s="27" t="n">
        <f aca="false">MAX(0,IF(N(O91)&lt;=0.005,L92,L92+N('Min gæld'!$E$7)-N92))</f>
        <v>4800</v>
      </c>
      <c r="Q92" s="27" t="n">
        <f aca="false">IF(N(S91)&lt;=0.005,0,N(S91)*(1+N('Min gæld'!$D$8)/12))</f>
        <v>0</v>
      </c>
      <c r="R92" s="27" t="n">
        <f aca="false">IF(Q92&lt;=0,0,MIN(Q92,N('Min gæld'!$E$8)+P92))</f>
        <v>0</v>
      </c>
      <c r="S92" s="27" t="n">
        <f aca="false">IF(Q92-R92&lt;0.005,0,Q92-R92)</f>
        <v>0</v>
      </c>
      <c r="T92" s="27" t="n">
        <f aca="false">MAX(0,IF(N(S91)&lt;=0.005,P92,P92+N('Min gæld'!$E$8)-R92))</f>
        <v>4800</v>
      </c>
      <c r="U92" s="27" t="n">
        <f aca="false">IF(N(W91)&lt;=0.005,0,N(W91)*(1+N('Min gæld'!$D$9)/12))</f>
        <v>0</v>
      </c>
      <c r="V92" s="27" t="n">
        <f aca="false">IF(U92&lt;=0,0,MIN(U92,N('Min gæld'!$E$9)+T92))</f>
        <v>0</v>
      </c>
      <c r="W92" s="27" t="n">
        <f aca="false">IF(U92-V92&lt;0.005,0,U92-V92)</f>
        <v>0</v>
      </c>
      <c r="X92" s="27" t="n">
        <f aca="false">MAX(0,IF(N(W91)&lt;=0.005,T92,T92+N('Min gæld'!$E$9)-V92))</f>
        <v>4800</v>
      </c>
      <c r="Y92" s="27" t="n">
        <f aca="false">IF(N(AA91)&lt;=0.005,0,N(AA91)*(1+N('Min gæld'!$D$10)/12))</f>
        <v>0</v>
      </c>
      <c r="Z92" s="27" t="n">
        <f aca="false">IF(Y92&lt;=0,0,MIN(Y92,N('Min gæld'!$E$10)+X92))</f>
        <v>0</v>
      </c>
      <c r="AA92" s="27" t="n">
        <f aca="false">IF(Y92-Z92&lt;0.005,0,Y92-Z92)</f>
        <v>0</v>
      </c>
      <c r="AB92" s="27" t="n">
        <f aca="false">MAX(0,IF(N(AA91)&lt;=0.005,X92,X92+N('Min gæld'!$E$10)-Z92))</f>
        <v>4800</v>
      </c>
      <c r="AC92" s="27" t="n">
        <f aca="false">IF(N(AE91)&lt;=0.005,0,N(AE91)*(1+N('Min gæld'!$D$11)/12))</f>
        <v>0</v>
      </c>
      <c r="AD92" s="27" t="n">
        <f aca="false">IF(AC92&lt;=0,0,MIN(AC92,N('Min gæld'!$E$11)+AB92))</f>
        <v>0</v>
      </c>
      <c r="AE92" s="27" t="n">
        <f aca="false">IF(AC92-AD92&lt;0.005,0,AC92-AD92)</f>
        <v>0</v>
      </c>
      <c r="AF92" s="27" t="n">
        <f aca="false">MAX(0,IF(N(AE91)&lt;=0.005,AB92,AB92+N('Min gæld'!$E$11)-AD92))</f>
        <v>4800</v>
      </c>
      <c r="AG92" s="27" t="n">
        <f aca="false">IF(N(AI91)&lt;=0.005,0,N(AI91)*(1+N('Min gæld'!$D$12)/12))</f>
        <v>0</v>
      </c>
      <c r="AH92" s="27" t="n">
        <f aca="false">IF(AG92&lt;=0,0,MIN(AG92,N('Min gæld'!$E$12)+AF92))</f>
        <v>0</v>
      </c>
      <c r="AI92" s="27" t="n">
        <f aca="false">IF(AG92-AH92&lt;0.005,0,AG92-AH92)</f>
        <v>0</v>
      </c>
      <c r="AJ92" s="27" t="n">
        <f aca="false">G92+K92+O92+S92+W92+AA92+AE92+AI92</f>
        <v>0</v>
      </c>
      <c r="AK92" s="28" t="n">
        <f aca="false">IF(E92&gt;0,E92-N(G91),0)+IF(I92&gt;0,I92-N(K91),0)+IF(M92&gt;0,M92-N(O91),0)+IF(Q92&gt;0,Q92-N(S91),0)+IF(U92&gt;0,U92-N(W91),0)+IF(Y92&gt;0,Y92-N(AA91),0)+IF(AC92&gt;0,AC92-N(AE91),0)+IF(AG92&gt;0,AG92-N(AI91),0)</f>
        <v>0</v>
      </c>
    </row>
    <row r="93" customFormat="false" ht="15" hidden="false" customHeight="false" outlineLevel="0" collapsed="false">
      <c r="A93" s="25" t="n">
        <v>88</v>
      </c>
      <c r="B93" s="26" t="n">
        <f aca="false">EDATE('Min gæld'!$C$16,87)</f>
        <v>49035</v>
      </c>
      <c r="C93" s="27" t="n">
        <f aca="false">N('Min gæld'!$C$15)+IF(N(G92)&lt;=0.005,N('Min gæld'!$E$5),0)+IF(N(K92)&lt;=0.005,N('Min gæld'!$E$6),0)+IF(N(O92)&lt;=0.005,N('Min gæld'!$E$7),0)+IF(N(S92)&lt;=0.005,N('Min gæld'!$E$8),0)+IF(N(W92)&lt;=0.005,N('Min gæld'!$E$9),0)+IF(N(AA92)&lt;=0.005,N('Min gæld'!$E$10),0)+IF(N(AE92)&lt;=0.005,N('Min gæld'!$E$11),0)+IF(N(AI92)&lt;=0.005,N('Min gæld'!$E$12),0)</f>
        <v>4800</v>
      </c>
      <c r="D93" s="27" t="n">
        <f aca="false">MAX(0,C93)</f>
        <v>4800</v>
      </c>
      <c r="E93" s="27" t="n">
        <f aca="false">IF(N(G92)&lt;=0.005,0,N(G92)*(1+N('Min gæld'!$D$5)/12))</f>
        <v>0</v>
      </c>
      <c r="F93" s="27" t="n">
        <f aca="false">IF(E93&lt;=0,0,MIN(E93,N('Min gæld'!$E$5)+D93))</f>
        <v>0</v>
      </c>
      <c r="G93" s="27" t="n">
        <f aca="false">IF(E93-F93&lt;0.005,0,E93-F93)</f>
        <v>0</v>
      </c>
      <c r="H93" s="27" t="n">
        <f aca="false">MAX(0,IF(N(G92)&lt;=0.005,D93,D93+N('Min gæld'!$E$5)-F93))</f>
        <v>4800</v>
      </c>
      <c r="I93" s="27" t="n">
        <f aca="false">IF(N(K92)&lt;=0.005,0,N(K92)*(1+N('Min gæld'!$D$6)/12))</f>
        <v>0</v>
      </c>
      <c r="J93" s="27" t="n">
        <f aca="false">IF(I93&lt;=0,0,MIN(I93,N('Min gæld'!$E$6)+H93))</f>
        <v>0</v>
      </c>
      <c r="K93" s="27" t="n">
        <f aca="false">IF(I93-J93&lt;0.005,0,I93-J93)</f>
        <v>0</v>
      </c>
      <c r="L93" s="27" t="n">
        <f aca="false">MAX(0,IF(N(K92)&lt;=0.005,H93,H93+N('Min gæld'!$E$6)-J93))</f>
        <v>4800</v>
      </c>
      <c r="M93" s="27" t="n">
        <f aca="false">IF(N(O92)&lt;=0.005,0,N(O92)*(1+N('Min gæld'!$D$7)/12))</f>
        <v>0</v>
      </c>
      <c r="N93" s="27" t="n">
        <f aca="false">IF(M93&lt;=0,0,MIN(M93,N('Min gæld'!$E$7)+L93))</f>
        <v>0</v>
      </c>
      <c r="O93" s="27" t="n">
        <f aca="false">IF(M93-N93&lt;0.005,0,M93-N93)</f>
        <v>0</v>
      </c>
      <c r="P93" s="27" t="n">
        <f aca="false">MAX(0,IF(N(O92)&lt;=0.005,L93,L93+N('Min gæld'!$E$7)-N93))</f>
        <v>4800</v>
      </c>
      <c r="Q93" s="27" t="n">
        <f aca="false">IF(N(S92)&lt;=0.005,0,N(S92)*(1+N('Min gæld'!$D$8)/12))</f>
        <v>0</v>
      </c>
      <c r="R93" s="27" t="n">
        <f aca="false">IF(Q93&lt;=0,0,MIN(Q93,N('Min gæld'!$E$8)+P93))</f>
        <v>0</v>
      </c>
      <c r="S93" s="27" t="n">
        <f aca="false">IF(Q93-R93&lt;0.005,0,Q93-R93)</f>
        <v>0</v>
      </c>
      <c r="T93" s="27" t="n">
        <f aca="false">MAX(0,IF(N(S92)&lt;=0.005,P93,P93+N('Min gæld'!$E$8)-R93))</f>
        <v>4800</v>
      </c>
      <c r="U93" s="27" t="n">
        <f aca="false">IF(N(W92)&lt;=0.005,0,N(W92)*(1+N('Min gæld'!$D$9)/12))</f>
        <v>0</v>
      </c>
      <c r="V93" s="27" t="n">
        <f aca="false">IF(U93&lt;=0,0,MIN(U93,N('Min gæld'!$E$9)+T93))</f>
        <v>0</v>
      </c>
      <c r="W93" s="27" t="n">
        <f aca="false">IF(U93-V93&lt;0.005,0,U93-V93)</f>
        <v>0</v>
      </c>
      <c r="X93" s="27" t="n">
        <f aca="false">MAX(0,IF(N(W92)&lt;=0.005,T93,T93+N('Min gæld'!$E$9)-V93))</f>
        <v>4800</v>
      </c>
      <c r="Y93" s="27" t="n">
        <f aca="false">IF(N(AA92)&lt;=0.005,0,N(AA92)*(1+N('Min gæld'!$D$10)/12))</f>
        <v>0</v>
      </c>
      <c r="Z93" s="27" t="n">
        <f aca="false">IF(Y93&lt;=0,0,MIN(Y93,N('Min gæld'!$E$10)+X93))</f>
        <v>0</v>
      </c>
      <c r="AA93" s="27" t="n">
        <f aca="false">IF(Y93-Z93&lt;0.005,0,Y93-Z93)</f>
        <v>0</v>
      </c>
      <c r="AB93" s="27" t="n">
        <f aca="false">MAX(0,IF(N(AA92)&lt;=0.005,X93,X93+N('Min gæld'!$E$10)-Z93))</f>
        <v>4800</v>
      </c>
      <c r="AC93" s="27" t="n">
        <f aca="false">IF(N(AE92)&lt;=0.005,0,N(AE92)*(1+N('Min gæld'!$D$11)/12))</f>
        <v>0</v>
      </c>
      <c r="AD93" s="27" t="n">
        <f aca="false">IF(AC93&lt;=0,0,MIN(AC93,N('Min gæld'!$E$11)+AB93))</f>
        <v>0</v>
      </c>
      <c r="AE93" s="27" t="n">
        <f aca="false">IF(AC93-AD93&lt;0.005,0,AC93-AD93)</f>
        <v>0</v>
      </c>
      <c r="AF93" s="27" t="n">
        <f aca="false">MAX(0,IF(N(AE92)&lt;=0.005,AB93,AB93+N('Min gæld'!$E$11)-AD93))</f>
        <v>4800</v>
      </c>
      <c r="AG93" s="27" t="n">
        <f aca="false">IF(N(AI92)&lt;=0.005,0,N(AI92)*(1+N('Min gæld'!$D$12)/12))</f>
        <v>0</v>
      </c>
      <c r="AH93" s="27" t="n">
        <f aca="false">IF(AG93&lt;=0,0,MIN(AG93,N('Min gæld'!$E$12)+AF93))</f>
        <v>0</v>
      </c>
      <c r="AI93" s="27" t="n">
        <f aca="false">IF(AG93-AH93&lt;0.005,0,AG93-AH93)</f>
        <v>0</v>
      </c>
      <c r="AJ93" s="27" t="n">
        <f aca="false">G93+K93+O93+S93+W93+AA93+AE93+AI93</f>
        <v>0</v>
      </c>
      <c r="AK93" s="28" t="n">
        <f aca="false">IF(E93&gt;0,E93-N(G92),0)+IF(I93&gt;0,I93-N(K92),0)+IF(M93&gt;0,M93-N(O92),0)+IF(Q93&gt;0,Q93-N(S92),0)+IF(U93&gt;0,U93-N(W92),0)+IF(Y93&gt;0,Y93-N(AA92),0)+IF(AC93&gt;0,AC93-N(AE92),0)+IF(AG93&gt;0,AG93-N(AI92),0)</f>
        <v>0</v>
      </c>
    </row>
    <row r="94" customFormat="false" ht="15" hidden="false" customHeight="false" outlineLevel="0" collapsed="false">
      <c r="A94" s="25" t="n">
        <v>89</v>
      </c>
      <c r="B94" s="26" t="n">
        <f aca="false">EDATE('Min gæld'!$C$16,88)</f>
        <v>49065</v>
      </c>
      <c r="C94" s="27" t="n">
        <f aca="false">N('Min gæld'!$C$15)+IF(N(G93)&lt;=0.005,N('Min gæld'!$E$5),0)+IF(N(K93)&lt;=0.005,N('Min gæld'!$E$6),0)+IF(N(O93)&lt;=0.005,N('Min gæld'!$E$7),0)+IF(N(S93)&lt;=0.005,N('Min gæld'!$E$8),0)+IF(N(W93)&lt;=0.005,N('Min gæld'!$E$9),0)+IF(N(AA93)&lt;=0.005,N('Min gæld'!$E$10),0)+IF(N(AE93)&lt;=0.005,N('Min gæld'!$E$11),0)+IF(N(AI93)&lt;=0.005,N('Min gæld'!$E$12),0)</f>
        <v>4800</v>
      </c>
      <c r="D94" s="27" t="n">
        <f aca="false">MAX(0,C94)</f>
        <v>4800</v>
      </c>
      <c r="E94" s="27" t="n">
        <f aca="false">IF(N(G93)&lt;=0.005,0,N(G93)*(1+N('Min gæld'!$D$5)/12))</f>
        <v>0</v>
      </c>
      <c r="F94" s="27" t="n">
        <f aca="false">IF(E94&lt;=0,0,MIN(E94,N('Min gæld'!$E$5)+D94))</f>
        <v>0</v>
      </c>
      <c r="G94" s="27" t="n">
        <f aca="false">IF(E94-F94&lt;0.005,0,E94-F94)</f>
        <v>0</v>
      </c>
      <c r="H94" s="27" t="n">
        <f aca="false">MAX(0,IF(N(G93)&lt;=0.005,D94,D94+N('Min gæld'!$E$5)-F94))</f>
        <v>4800</v>
      </c>
      <c r="I94" s="27" t="n">
        <f aca="false">IF(N(K93)&lt;=0.005,0,N(K93)*(1+N('Min gæld'!$D$6)/12))</f>
        <v>0</v>
      </c>
      <c r="J94" s="27" t="n">
        <f aca="false">IF(I94&lt;=0,0,MIN(I94,N('Min gæld'!$E$6)+H94))</f>
        <v>0</v>
      </c>
      <c r="K94" s="27" t="n">
        <f aca="false">IF(I94-J94&lt;0.005,0,I94-J94)</f>
        <v>0</v>
      </c>
      <c r="L94" s="27" t="n">
        <f aca="false">MAX(0,IF(N(K93)&lt;=0.005,H94,H94+N('Min gæld'!$E$6)-J94))</f>
        <v>4800</v>
      </c>
      <c r="M94" s="27" t="n">
        <f aca="false">IF(N(O93)&lt;=0.005,0,N(O93)*(1+N('Min gæld'!$D$7)/12))</f>
        <v>0</v>
      </c>
      <c r="N94" s="27" t="n">
        <f aca="false">IF(M94&lt;=0,0,MIN(M94,N('Min gæld'!$E$7)+L94))</f>
        <v>0</v>
      </c>
      <c r="O94" s="27" t="n">
        <f aca="false">IF(M94-N94&lt;0.005,0,M94-N94)</f>
        <v>0</v>
      </c>
      <c r="P94" s="27" t="n">
        <f aca="false">MAX(0,IF(N(O93)&lt;=0.005,L94,L94+N('Min gæld'!$E$7)-N94))</f>
        <v>4800</v>
      </c>
      <c r="Q94" s="27" t="n">
        <f aca="false">IF(N(S93)&lt;=0.005,0,N(S93)*(1+N('Min gæld'!$D$8)/12))</f>
        <v>0</v>
      </c>
      <c r="R94" s="27" t="n">
        <f aca="false">IF(Q94&lt;=0,0,MIN(Q94,N('Min gæld'!$E$8)+P94))</f>
        <v>0</v>
      </c>
      <c r="S94" s="27" t="n">
        <f aca="false">IF(Q94-R94&lt;0.005,0,Q94-R94)</f>
        <v>0</v>
      </c>
      <c r="T94" s="27" t="n">
        <f aca="false">MAX(0,IF(N(S93)&lt;=0.005,P94,P94+N('Min gæld'!$E$8)-R94))</f>
        <v>4800</v>
      </c>
      <c r="U94" s="27" t="n">
        <f aca="false">IF(N(W93)&lt;=0.005,0,N(W93)*(1+N('Min gæld'!$D$9)/12))</f>
        <v>0</v>
      </c>
      <c r="V94" s="27" t="n">
        <f aca="false">IF(U94&lt;=0,0,MIN(U94,N('Min gæld'!$E$9)+T94))</f>
        <v>0</v>
      </c>
      <c r="W94" s="27" t="n">
        <f aca="false">IF(U94-V94&lt;0.005,0,U94-V94)</f>
        <v>0</v>
      </c>
      <c r="X94" s="27" t="n">
        <f aca="false">MAX(0,IF(N(W93)&lt;=0.005,T94,T94+N('Min gæld'!$E$9)-V94))</f>
        <v>4800</v>
      </c>
      <c r="Y94" s="27" t="n">
        <f aca="false">IF(N(AA93)&lt;=0.005,0,N(AA93)*(1+N('Min gæld'!$D$10)/12))</f>
        <v>0</v>
      </c>
      <c r="Z94" s="27" t="n">
        <f aca="false">IF(Y94&lt;=0,0,MIN(Y94,N('Min gæld'!$E$10)+X94))</f>
        <v>0</v>
      </c>
      <c r="AA94" s="27" t="n">
        <f aca="false">IF(Y94-Z94&lt;0.005,0,Y94-Z94)</f>
        <v>0</v>
      </c>
      <c r="AB94" s="27" t="n">
        <f aca="false">MAX(0,IF(N(AA93)&lt;=0.005,X94,X94+N('Min gæld'!$E$10)-Z94))</f>
        <v>4800</v>
      </c>
      <c r="AC94" s="27" t="n">
        <f aca="false">IF(N(AE93)&lt;=0.005,0,N(AE93)*(1+N('Min gæld'!$D$11)/12))</f>
        <v>0</v>
      </c>
      <c r="AD94" s="27" t="n">
        <f aca="false">IF(AC94&lt;=0,0,MIN(AC94,N('Min gæld'!$E$11)+AB94))</f>
        <v>0</v>
      </c>
      <c r="AE94" s="27" t="n">
        <f aca="false">IF(AC94-AD94&lt;0.005,0,AC94-AD94)</f>
        <v>0</v>
      </c>
      <c r="AF94" s="27" t="n">
        <f aca="false">MAX(0,IF(N(AE93)&lt;=0.005,AB94,AB94+N('Min gæld'!$E$11)-AD94))</f>
        <v>4800</v>
      </c>
      <c r="AG94" s="27" t="n">
        <f aca="false">IF(N(AI93)&lt;=0.005,0,N(AI93)*(1+N('Min gæld'!$D$12)/12))</f>
        <v>0</v>
      </c>
      <c r="AH94" s="27" t="n">
        <f aca="false">IF(AG94&lt;=0,0,MIN(AG94,N('Min gæld'!$E$12)+AF94))</f>
        <v>0</v>
      </c>
      <c r="AI94" s="27" t="n">
        <f aca="false">IF(AG94-AH94&lt;0.005,0,AG94-AH94)</f>
        <v>0</v>
      </c>
      <c r="AJ94" s="27" t="n">
        <f aca="false">G94+K94+O94+S94+W94+AA94+AE94+AI94</f>
        <v>0</v>
      </c>
      <c r="AK94" s="28" t="n">
        <f aca="false">IF(E94&gt;0,E94-N(G93),0)+IF(I94&gt;0,I94-N(K93),0)+IF(M94&gt;0,M94-N(O93),0)+IF(Q94&gt;0,Q94-N(S93),0)+IF(U94&gt;0,U94-N(W93),0)+IF(Y94&gt;0,Y94-N(AA93),0)+IF(AC94&gt;0,AC94-N(AE93),0)+IF(AG94&gt;0,AG94-N(AI93),0)</f>
        <v>0</v>
      </c>
    </row>
    <row r="95" customFormat="false" ht="15" hidden="false" customHeight="false" outlineLevel="0" collapsed="false">
      <c r="A95" s="25" t="n">
        <v>90</v>
      </c>
      <c r="B95" s="26" t="n">
        <f aca="false">EDATE('Min gæld'!$C$16,89)</f>
        <v>49096</v>
      </c>
      <c r="C95" s="27" t="n">
        <f aca="false">N('Min gæld'!$C$15)+IF(N(G94)&lt;=0.005,N('Min gæld'!$E$5),0)+IF(N(K94)&lt;=0.005,N('Min gæld'!$E$6),0)+IF(N(O94)&lt;=0.005,N('Min gæld'!$E$7),0)+IF(N(S94)&lt;=0.005,N('Min gæld'!$E$8),0)+IF(N(W94)&lt;=0.005,N('Min gæld'!$E$9),0)+IF(N(AA94)&lt;=0.005,N('Min gæld'!$E$10),0)+IF(N(AE94)&lt;=0.005,N('Min gæld'!$E$11),0)+IF(N(AI94)&lt;=0.005,N('Min gæld'!$E$12),0)</f>
        <v>4800</v>
      </c>
      <c r="D95" s="27" t="n">
        <f aca="false">MAX(0,C95)</f>
        <v>4800</v>
      </c>
      <c r="E95" s="27" t="n">
        <f aca="false">IF(N(G94)&lt;=0.005,0,N(G94)*(1+N('Min gæld'!$D$5)/12))</f>
        <v>0</v>
      </c>
      <c r="F95" s="27" t="n">
        <f aca="false">IF(E95&lt;=0,0,MIN(E95,N('Min gæld'!$E$5)+D95))</f>
        <v>0</v>
      </c>
      <c r="G95" s="27" t="n">
        <f aca="false">IF(E95-F95&lt;0.005,0,E95-F95)</f>
        <v>0</v>
      </c>
      <c r="H95" s="27" t="n">
        <f aca="false">MAX(0,IF(N(G94)&lt;=0.005,D95,D95+N('Min gæld'!$E$5)-F95))</f>
        <v>4800</v>
      </c>
      <c r="I95" s="27" t="n">
        <f aca="false">IF(N(K94)&lt;=0.005,0,N(K94)*(1+N('Min gæld'!$D$6)/12))</f>
        <v>0</v>
      </c>
      <c r="J95" s="27" t="n">
        <f aca="false">IF(I95&lt;=0,0,MIN(I95,N('Min gæld'!$E$6)+H95))</f>
        <v>0</v>
      </c>
      <c r="K95" s="27" t="n">
        <f aca="false">IF(I95-J95&lt;0.005,0,I95-J95)</f>
        <v>0</v>
      </c>
      <c r="L95" s="27" t="n">
        <f aca="false">MAX(0,IF(N(K94)&lt;=0.005,H95,H95+N('Min gæld'!$E$6)-J95))</f>
        <v>4800</v>
      </c>
      <c r="M95" s="27" t="n">
        <f aca="false">IF(N(O94)&lt;=0.005,0,N(O94)*(1+N('Min gæld'!$D$7)/12))</f>
        <v>0</v>
      </c>
      <c r="N95" s="27" t="n">
        <f aca="false">IF(M95&lt;=0,0,MIN(M95,N('Min gæld'!$E$7)+L95))</f>
        <v>0</v>
      </c>
      <c r="O95" s="27" t="n">
        <f aca="false">IF(M95-N95&lt;0.005,0,M95-N95)</f>
        <v>0</v>
      </c>
      <c r="P95" s="27" t="n">
        <f aca="false">MAX(0,IF(N(O94)&lt;=0.005,L95,L95+N('Min gæld'!$E$7)-N95))</f>
        <v>4800</v>
      </c>
      <c r="Q95" s="27" t="n">
        <f aca="false">IF(N(S94)&lt;=0.005,0,N(S94)*(1+N('Min gæld'!$D$8)/12))</f>
        <v>0</v>
      </c>
      <c r="R95" s="27" t="n">
        <f aca="false">IF(Q95&lt;=0,0,MIN(Q95,N('Min gæld'!$E$8)+P95))</f>
        <v>0</v>
      </c>
      <c r="S95" s="27" t="n">
        <f aca="false">IF(Q95-R95&lt;0.005,0,Q95-R95)</f>
        <v>0</v>
      </c>
      <c r="T95" s="27" t="n">
        <f aca="false">MAX(0,IF(N(S94)&lt;=0.005,P95,P95+N('Min gæld'!$E$8)-R95))</f>
        <v>4800</v>
      </c>
      <c r="U95" s="27" t="n">
        <f aca="false">IF(N(W94)&lt;=0.005,0,N(W94)*(1+N('Min gæld'!$D$9)/12))</f>
        <v>0</v>
      </c>
      <c r="V95" s="27" t="n">
        <f aca="false">IF(U95&lt;=0,0,MIN(U95,N('Min gæld'!$E$9)+T95))</f>
        <v>0</v>
      </c>
      <c r="W95" s="27" t="n">
        <f aca="false">IF(U95-V95&lt;0.005,0,U95-V95)</f>
        <v>0</v>
      </c>
      <c r="X95" s="27" t="n">
        <f aca="false">MAX(0,IF(N(W94)&lt;=0.005,T95,T95+N('Min gæld'!$E$9)-V95))</f>
        <v>4800</v>
      </c>
      <c r="Y95" s="27" t="n">
        <f aca="false">IF(N(AA94)&lt;=0.005,0,N(AA94)*(1+N('Min gæld'!$D$10)/12))</f>
        <v>0</v>
      </c>
      <c r="Z95" s="27" t="n">
        <f aca="false">IF(Y95&lt;=0,0,MIN(Y95,N('Min gæld'!$E$10)+X95))</f>
        <v>0</v>
      </c>
      <c r="AA95" s="27" t="n">
        <f aca="false">IF(Y95-Z95&lt;0.005,0,Y95-Z95)</f>
        <v>0</v>
      </c>
      <c r="AB95" s="27" t="n">
        <f aca="false">MAX(0,IF(N(AA94)&lt;=0.005,X95,X95+N('Min gæld'!$E$10)-Z95))</f>
        <v>4800</v>
      </c>
      <c r="AC95" s="27" t="n">
        <f aca="false">IF(N(AE94)&lt;=0.005,0,N(AE94)*(1+N('Min gæld'!$D$11)/12))</f>
        <v>0</v>
      </c>
      <c r="AD95" s="27" t="n">
        <f aca="false">IF(AC95&lt;=0,0,MIN(AC95,N('Min gæld'!$E$11)+AB95))</f>
        <v>0</v>
      </c>
      <c r="AE95" s="27" t="n">
        <f aca="false">IF(AC95-AD95&lt;0.005,0,AC95-AD95)</f>
        <v>0</v>
      </c>
      <c r="AF95" s="27" t="n">
        <f aca="false">MAX(0,IF(N(AE94)&lt;=0.005,AB95,AB95+N('Min gæld'!$E$11)-AD95))</f>
        <v>4800</v>
      </c>
      <c r="AG95" s="27" t="n">
        <f aca="false">IF(N(AI94)&lt;=0.005,0,N(AI94)*(1+N('Min gæld'!$D$12)/12))</f>
        <v>0</v>
      </c>
      <c r="AH95" s="27" t="n">
        <f aca="false">IF(AG95&lt;=0,0,MIN(AG95,N('Min gæld'!$E$12)+AF95))</f>
        <v>0</v>
      </c>
      <c r="AI95" s="27" t="n">
        <f aca="false">IF(AG95-AH95&lt;0.005,0,AG95-AH95)</f>
        <v>0</v>
      </c>
      <c r="AJ95" s="27" t="n">
        <f aca="false">G95+K95+O95+S95+W95+AA95+AE95+AI95</f>
        <v>0</v>
      </c>
      <c r="AK95" s="28" t="n">
        <f aca="false">IF(E95&gt;0,E95-N(G94),0)+IF(I95&gt;0,I95-N(K94),0)+IF(M95&gt;0,M95-N(O94),0)+IF(Q95&gt;0,Q95-N(S94),0)+IF(U95&gt;0,U95-N(W94),0)+IF(Y95&gt;0,Y95-N(AA94),0)+IF(AC95&gt;0,AC95-N(AE94),0)+IF(AG95&gt;0,AG95-N(AI94),0)</f>
        <v>0</v>
      </c>
    </row>
    <row r="96" customFormat="false" ht="15" hidden="false" customHeight="false" outlineLevel="0" collapsed="false">
      <c r="A96" s="25" t="n">
        <v>91</v>
      </c>
      <c r="B96" s="26" t="n">
        <f aca="false">EDATE('Min gæld'!$C$16,90)</f>
        <v>49126</v>
      </c>
      <c r="C96" s="27" t="n">
        <f aca="false">N('Min gæld'!$C$15)+IF(N(G95)&lt;=0.005,N('Min gæld'!$E$5),0)+IF(N(K95)&lt;=0.005,N('Min gæld'!$E$6),0)+IF(N(O95)&lt;=0.005,N('Min gæld'!$E$7),0)+IF(N(S95)&lt;=0.005,N('Min gæld'!$E$8),0)+IF(N(W95)&lt;=0.005,N('Min gæld'!$E$9),0)+IF(N(AA95)&lt;=0.005,N('Min gæld'!$E$10),0)+IF(N(AE95)&lt;=0.005,N('Min gæld'!$E$11),0)+IF(N(AI95)&lt;=0.005,N('Min gæld'!$E$12),0)</f>
        <v>4800</v>
      </c>
      <c r="D96" s="27" t="n">
        <f aca="false">MAX(0,C96)</f>
        <v>4800</v>
      </c>
      <c r="E96" s="27" t="n">
        <f aca="false">IF(N(G95)&lt;=0.005,0,N(G95)*(1+N('Min gæld'!$D$5)/12))</f>
        <v>0</v>
      </c>
      <c r="F96" s="27" t="n">
        <f aca="false">IF(E96&lt;=0,0,MIN(E96,N('Min gæld'!$E$5)+D96))</f>
        <v>0</v>
      </c>
      <c r="G96" s="27" t="n">
        <f aca="false">IF(E96-F96&lt;0.005,0,E96-F96)</f>
        <v>0</v>
      </c>
      <c r="H96" s="27" t="n">
        <f aca="false">MAX(0,IF(N(G95)&lt;=0.005,D96,D96+N('Min gæld'!$E$5)-F96))</f>
        <v>4800</v>
      </c>
      <c r="I96" s="27" t="n">
        <f aca="false">IF(N(K95)&lt;=0.005,0,N(K95)*(1+N('Min gæld'!$D$6)/12))</f>
        <v>0</v>
      </c>
      <c r="J96" s="27" t="n">
        <f aca="false">IF(I96&lt;=0,0,MIN(I96,N('Min gæld'!$E$6)+H96))</f>
        <v>0</v>
      </c>
      <c r="K96" s="27" t="n">
        <f aca="false">IF(I96-J96&lt;0.005,0,I96-J96)</f>
        <v>0</v>
      </c>
      <c r="L96" s="27" t="n">
        <f aca="false">MAX(0,IF(N(K95)&lt;=0.005,H96,H96+N('Min gæld'!$E$6)-J96))</f>
        <v>4800</v>
      </c>
      <c r="M96" s="27" t="n">
        <f aca="false">IF(N(O95)&lt;=0.005,0,N(O95)*(1+N('Min gæld'!$D$7)/12))</f>
        <v>0</v>
      </c>
      <c r="N96" s="27" t="n">
        <f aca="false">IF(M96&lt;=0,0,MIN(M96,N('Min gæld'!$E$7)+L96))</f>
        <v>0</v>
      </c>
      <c r="O96" s="27" t="n">
        <f aca="false">IF(M96-N96&lt;0.005,0,M96-N96)</f>
        <v>0</v>
      </c>
      <c r="P96" s="27" t="n">
        <f aca="false">MAX(0,IF(N(O95)&lt;=0.005,L96,L96+N('Min gæld'!$E$7)-N96))</f>
        <v>4800</v>
      </c>
      <c r="Q96" s="27" t="n">
        <f aca="false">IF(N(S95)&lt;=0.005,0,N(S95)*(1+N('Min gæld'!$D$8)/12))</f>
        <v>0</v>
      </c>
      <c r="R96" s="27" t="n">
        <f aca="false">IF(Q96&lt;=0,0,MIN(Q96,N('Min gæld'!$E$8)+P96))</f>
        <v>0</v>
      </c>
      <c r="S96" s="27" t="n">
        <f aca="false">IF(Q96-R96&lt;0.005,0,Q96-R96)</f>
        <v>0</v>
      </c>
      <c r="T96" s="27" t="n">
        <f aca="false">MAX(0,IF(N(S95)&lt;=0.005,P96,P96+N('Min gæld'!$E$8)-R96))</f>
        <v>4800</v>
      </c>
      <c r="U96" s="27" t="n">
        <f aca="false">IF(N(W95)&lt;=0.005,0,N(W95)*(1+N('Min gæld'!$D$9)/12))</f>
        <v>0</v>
      </c>
      <c r="V96" s="27" t="n">
        <f aca="false">IF(U96&lt;=0,0,MIN(U96,N('Min gæld'!$E$9)+T96))</f>
        <v>0</v>
      </c>
      <c r="W96" s="27" t="n">
        <f aca="false">IF(U96-V96&lt;0.005,0,U96-V96)</f>
        <v>0</v>
      </c>
      <c r="X96" s="27" t="n">
        <f aca="false">MAX(0,IF(N(W95)&lt;=0.005,T96,T96+N('Min gæld'!$E$9)-V96))</f>
        <v>4800</v>
      </c>
      <c r="Y96" s="27" t="n">
        <f aca="false">IF(N(AA95)&lt;=0.005,0,N(AA95)*(1+N('Min gæld'!$D$10)/12))</f>
        <v>0</v>
      </c>
      <c r="Z96" s="27" t="n">
        <f aca="false">IF(Y96&lt;=0,0,MIN(Y96,N('Min gæld'!$E$10)+X96))</f>
        <v>0</v>
      </c>
      <c r="AA96" s="27" t="n">
        <f aca="false">IF(Y96-Z96&lt;0.005,0,Y96-Z96)</f>
        <v>0</v>
      </c>
      <c r="AB96" s="27" t="n">
        <f aca="false">MAX(0,IF(N(AA95)&lt;=0.005,X96,X96+N('Min gæld'!$E$10)-Z96))</f>
        <v>4800</v>
      </c>
      <c r="AC96" s="27" t="n">
        <f aca="false">IF(N(AE95)&lt;=0.005,0,N(AE95)*(1+N('Min gæld'!$D$11)/12))</f>
        <v>0</v>
      </c>
      <c r="AD96" s="27" t="n">
        <f aca="false">IF(AC96&lt;=0,0,MIN(AC96,N('Min gæld'!$E$11)+AB96))</f>
        <v>0</v>
      </c>
      <c r="AE96" s="27" t="n">
        <f aca="false">IF(AC96-AD96&lt;0.005,0,AC96-AD96)</f>
        <v>0</v>
      </c>
      <c r="AF96" s="27" t="n">
        <f aca="false">MAX(0,IF(N(AE95)&lt;=0.005,AB96,AB96+N('Min gæld'!$E$11)-AD96))</f>
        <v>4800</v>
      </c>
      <c r="AG96" s="27" t="n">
        <f aca="false">IF(N(AI95)&lt;=0.005,0,N(AI95)*(1+N('Min gæld'!$D$12)/12))</f>
        <v>0</v>
      </c>
      <c r="AH96" s="27" t="n">
        <f aca="false">IF(AG96&lt;=0,0,MIN(AG96,N('Min gæld'!$E$12)+AF96))</f>
        <v>0</v>
      </c>
      <c r="AI96" s="27" t="n">
        <f aca="false">IF(AG96-AH96&lt;0.005,0,AG96-AH96)</f>
        <v>0</v>
      </c>
      <c r="AJ96" s="27" t="n">
        <f aca="false">G96+K96+O96+S96+W96+AA96+AE96+AI96</f>
        <v>0</v>
      </c>
      <c r="AK96" s="28" t="n">
        <f aca="false">IF(E96&gt;0,E96-N(G95),0)+IF(I96&gt;0,I96-N(K95),0)+IF(M96&gt;0,M96-N(O95),0)+IF(Q96&gt;0,Q96-N(S95),0)+IF(U96&gt;0,U96-N(W95),0)+IF(Y96&gt;0,Y96-N(AA95),0)+IF(AC96&gt;0,AC96-N(AE95),0)+IF(AG96&gt;0,AG96-N(AI95),0)</f>
        <v>0</v>
      </c>
    </row>
    <row r="97" customFormat="false" ht="15" hidden="false" customHeight="false" outlineLevel="0" collapsed="false">
      <c r="A97" s="25" t="n">
        <v>92</v>
      </c>
      <c r="B97" s="26" t="n">
        <f aca="false">EDATE('Min gæld'!$C$16,91)</f>
        <v>49157</v>
      </c>
      <c r="C97" s="27" t="n">
        <f aca="false">N('Min gæld'!$C$15)+IF(N(G96)&lt;=0.005,N('Min gæld'!$E$5),0)+IF(N(K96)&lt;=0.005,N('Min gæld'!$E$6),0)+IF(N(O96)&lt;=0.005,N('Min gæld'!$E$7),0)+IF(N(S96)&lt;=0.005,N('Min gæld'!$E$8),0)+IF(N(W96)&lt;=0.005,N('Min gæld'!$E$9),0)+IF(N(AA96)&lt;=0.005,N('Min gæld'!$E$10),0)+IF(N(AE96)&lt;=0.005,N('Min gæld'!$E$11),0)+IF(N(AI96)&lt;=0.005,N('Min gæld'!$E$12),0)</f>
        <v>4800</v>
      </c>
      <c r="D97" s="27" t="n">
        <f aca="false">MAX(0,C97)</f>
        <v>4800</v>
      </c>
      <c r="E97" s="27" t="n">
        <f aca="false">IF(N(G96)&lt;=0.005,0,N(G96)*(1+N('Min gæld'!$D$5)/12))</f>
        <v>0</v>
      </c>
      <c r="F97" s="27" t="n">
        <f aca="false">IF(E97&lt;=0,0,MIN(E97,N('Min gæld'!$E$5)+D97))</f>
        <v>0</v>
      </c>
      <c r="G97" s="27" t="n">
        <f aca="false">IF(E97-F97&lt;0.005,0,E97-F97)</f>
        <v>0</v>
      </c>
      <c r="H97" s="27" t="n">
        <f aca="false">MAX(0,IF(N(G96)&lt;=0.005,D97,D97+N('Min gæld'!$E$5)-F97))</f>
        <v>4800</v>
      </c>
      <c r="I97" s="27" t="n">
        <f aca="false">IF(N(K96)&lt;=0.005,0,N(K96)*(1+N('Min gæld'!$D$6)/12))</f>
        <v>0</v>
      </c>
      <c r="J97" s="27" t="n">
        <f aca="false">IF(I97&lt;=0,0,MIN(I97,N('Min gæld'!$E$6)+H97))</f>
        <v>0</v>
      </c>
      <c r="K97" s="27" t="n">
        <f aca="false">IF(I97-J97&lt;0.005,0,I97-J97)</f>
        <v>0</v>
      </c>
      <c r="L97" s="27" t="n">
        <f aca="false">MAX(0,IF(N(K96)&lt;=0.005,H97,H97+N('Min gæld'!$E$6)-J97))</f>
        <v>4800</v>
      </c>
      <c r="M97" s="27" t="n">
        <f aca="false">IF(N(O96)&lt;=0.005,0,N(O96)*(1+N('Min gæld'!$D$7)/12))</f>
        <v>0</v>
      </c>
      <c r="N97" s="27" t="n">
        <f aca="false">IF(M97&lt;=0,0,MIN(M97,N('Min gæld'!$E$7)+L97))</f>
        <v>0</v>
      </c>
      <c r="O97" s="27" t="n">
        <f aca="false">IF(M97-N97&lt;0.005,0,M97-N97)</f>
        <v>0</v>
      </c>
      <c r="P97" s="27" t="n">
        <f aca="false">MAX(0,IF(N(O96)&lt;=0.005,L97,L97+N('Min gæld'!$E$7)-N97))</f>
        <v>4800</v>
      </c>
      <c r="Q97" s="27" t="n">
        <f aca="false">IF(N(S96)&lt;=0.005,0,N(S96)*(1+N('Min gæld'!$D$8)/12))</f>
        <v>0</v>
      </c>
      <c r="R97" s="27" t="n">
        <f aca="false">IF(Q97&lt;=0,0,MIN(Q97,N('Min gæld'!$E$8)+P97))</f>
        <v>0</v>
      </c>
      <c r="S97" s="27" t="n">
        <f aca="false">IF(Q97-R97&lt;0.005,0,Q97-R97)</f>
        <v>0</v>
      </c>
      <c r="T97" s="27" t="n">
        <f aca="false">MAX(0,IF(N(S96)&lt;=0.005,P97,P97+N('Min gæld'!$E$8)-R97))</f>
        <v>4800</v>
      </c>
      <c r="U97" s="27" t="n">
        <f aca="false">IF(N(W96)&lt;=0.005,0,N(W96)*(1+N('Min gæld'!$D$9)/12))</f>
        <v>0</v>
      </c>
      <c r="V97" s="27" t="n">
        <f aca="false">IF(U97&lt;=0,0,MIN(U97,N('Min gæld'!$E$9)+T97))</f>
        <v>0</v>
      </c>
      <c r="W97" s="27" t="n">
        <f aca="false">IF(U97-V97&lt;0.005,0,U97-V97)</f>
        <v>0</v>
      </c>
      <c r="X97" s="27" t="n">
        <f aca="false">MAX(0,IF(N(W96)&lt;=0.005,T97,T97+N('Min gæld'!$E$9)-V97))</f>
        <v>4800</v>
      </c>
      <c r="Y97" s="27" t="n">
        <f aca="false">IF(N(AA96)&lt;=0.005,0,N(AA96)*(1+N('Min gæld'!$D$10)/12))</f>
        <v>0</v>
      </c>
      <c r="Z97" s="27" t="n">
        <f aca="false">IF(Y97&lt;=0,0,MIN(Y97,N('Min gæld'!$E$10)+X97))</f>
        <v>0</v>
      </c>
      <c r="AA97" s="27" t="n">
        <f aca="false">IF(Y97-Z97&lt;0.005,0,Y97-Z97)</f>
        <v>0</v>
      </c>
      <c r="AB97" s="27" t="n">
        <f aca="false">MAX(0,IF(N(AA96)&lt;=0.005,X97,X97+N('Min gæld'!$E$10)-Z97))</f>
        <v>4800</v>
      </c>
      <c r="AC97" s="27" t="n">
        <f aca="false">IF(N(AE96)&lt;=0.005,0,N(AE96)*(1+N('Min gæld'!$D$11)/12))</f>
        <v>0</v>
      </c>
      <c r="AD97" s="27" t="n">
        <f aca="false">IF(AC97&lt;=0,0,MIN(AC97,N('Min gæld'!$E$11)+AB97))</f>
        <v>0</v>
      </c>
      <c r="AE97" s="27" t="n">
        <f aca="false">IF(AC97-AD97&lt;0.005,0,AC97-AD97)</f>
        <v>0</v>
      </c>
      <c r="AF97" s="27" t="n">
        <f aca="false">MAX(0,IF(N(AE96)&lt;=0.005,AB97,AB97+N('Min gæld'!$E$11)-AD97))</f>
        <v>4800</v>
      </c>
      <c r="AG97" s="27" t="n">
        <f aca="false">IF(N(AI96)&lt;=0.005,0,N(AI96)*(1+N('Min gæld'!$D$12)/12))</f>
        <v>0</v>
      </c>
      <c r="AH97" s="27" t="n">
        <f aca="false">IF(AG97&lt;=0,0,MIN(AG97,N('Min gæld'!$E$12)+AF97))</f>
        <v>0</v>
      </c>
      <c r="AI97" s="27" t="n">
        <f aca="false">IF(AG97-AH97&lt;0.005,0,AG97-AH97)</f>
        <v>0</v>
      </c>
      <c r="AJ97" s="27" t="n">
        <f aca="false">G97+K97+O97+S97+W97+AA97+AE97+AI97</f>
        <v>0</v>
      </c>
      <c r="AK97" s="28" t="n">
        <f aca="false">IF(E97&gt;0,E97-N(G96),0)+IF(I97&gt;0,I97-N(K96),0)+IF(M97&gt;0,M97-N(O96),0)+IF(Q97&gt;0,Q97-N(S96),0)+IF(U97&gt;0,U97-N(W96),0)+IF(Y97&gt;0,Y97-N(AA96),0)+IF(AC97&gt;0,AC97-N(AE96),0)+IF(AG97&gt;0,AG97-N(AI96),0)</f>
        <v>0</v>
      </c>
    </row>
    <row r="98" customFormat="false" ht="15" hidden="false" customHeight="false" outlineLevel="0" collapsed="false">
      <c r="A98" s="25" t="n">
        <v>93</v>
      </c>
      <c r="B98" s="26" t="n">
        <f aca="false">EDATE('Min gæld'!$C$16,92)</f>
        <v>49188</v>
      </c>
      <c r="C98" s="27" t="n">
        <f aca="false">N('Min gæld'!$C$15)+IF(N(G97)&lt;=0.005,N('Min gæld'!$E$5),0)+IF(N(K97)&lt;=0.005,N('Min gæld'!$E$6),0)+IF(N(O97)&lt;=0.005,N('Min gæld'!$E$7),0)+IF(N(S97)&lt;=0.005,N('Min gæld'!$E$8),0)+IF(N(W97)&lt;=0.005,N('Min gæld'!$E$9),0)+IF(N(AA97)&lt;=0.005,N('Min gæld'!$E$10),0)+IF(N(AE97)&lt;=0.005,N('Min gæld'!$E$11),0)+IF(N(AI97)&lt;=0.005,N('Min gæld'!$E$12),0)</f>
        <v>4800</v>
      </c>
      <c r="D98" s="27" t="n">
        <f aca="false">MAX(0,C98)</f>
        <v>4800</v>
      </c>
      <c r="E98" s="27" t="n">
        <f aca="false">IF(N(G97)&lt;=0.005,0,N(G97)*(1+N('Min gæld'!$D$5)/12))</f>
        <v>0</v>
      </c>
      <c r="F98" s="27" t="n">
        <f aca="false">IF(E98&lt;=0,0,MIN(E98,N('Min gæld'!$E$5)+D98))</f>
        <v>0</v>
      </c>
      <c r="G98" s="27" t="n">
        <f aca="false">IF(E98-F98&lt;0.005,0,E98-F98)</f>
        <v>0</v>
      </c>
      <c r="H98" s="27" t="n">
        <f aca="false">MAX(0,IF(N(G97)&lt;=0.005,D98,D98+N('Min gæld'!$E$5)-F98))</f>
        <v>4800</v>
      </c>
      <c r="I98" s="27" t="n">
        <f aca="false">IF(N(K97)&lt;=0.005,0,N(K97)*(1+N('Min gæld'!$D$6)/12))</f>
        <v>0</v>
      </c>
      <c r="J98" s="27" t="n">
        <f aca="false">IF(I98&lt;=0,0,MIN(I98,N('Min gæld'!$E$6)+H98))</f>
        <v>0</v>
      </c>
      <c r="K98" s="27" t="n">
        <f aca="false">IF(I98-J98&lt;0.005,0,I98-J98)</f>
        <v>0</v>
      </c>
      <c r="L98" s="27" t="n">
        <f aca="false">MAX(0,IF(N(K97)&lt;=0.005,H98,H98+N('Min gæld'!$E$6)-J98))</f>
        <v>4800</v>
      </c>
      <c r="M98" s="27" t="n">
        <f aca="false">IF(N(O97)&lt;=0.005,0,N(O97)*(1+N('Min gæld'!$D$7)/12))</f>
        <v>0</v>
      </c>
      <c r="N98" s="27" t="n">
        <f aca="false">IF(M98&lt;=0,0,MIN(M98,N('Min gæld'!$E$7)+L98))</f>
        <v>0</v>
      </c>
      <c r="O98" s="27" t="n">
        <f aca="false">IF(M98-N98&lt;0.005,0,M98-N98)</f>
        <v>0</v>
      </c>
      <c r="P98" s="27" t="n">
        <f aca="false">MAX(0,IF(N(O97)&lt;=0.005,L98,L98+N('Min gæld'!$E$7)-N98))</f>
        <v>4800</v>
      </c>
      <c r="Q98" s="27" t="n">
        <f aca="false">IF(N(S97)&lt;=0.005,0,N(S97)*(1+N('Min gæld'!$D$8)/12))</f>
        <v>0</v>
      </c>
      <c r="R98" s="27" t="n">
        <f aca="false">IF(Q98&lt;=0,0,MIN(Q98,N('Min gæld'!$E$8)+P98))</f>
        <v>0</v>
      </c>
      <c r="S98" s="27" t="n">
        <f aca="false">IF(Q98-R98&lt;0.005,0,Q98-R98)</f>
        <v>0</v>
      </c>
      <c r="T98" s="27" t="n">
        <f aca="false">MAX(0,IF(N(S97)&lt;=0.005,P98,P98+N('Min gæld'!$E$8)-R98))</f>
        <v>4800</v>
      </c>
      <c r="U98" s="27" t="n">
        <f aca="false">IF(N(W97)&lt;=0.005,0,N(W97)*(1+N('Min gæld'!$D$9)/12))</f>
        <v>0</v>
      </c>
      <c r="V98" s="27" t="n">
        <f aca="false">IF(U98&lt;=0,0,MIN(U98,N('Min gæld'!$E$9)+T98))</f>
        <v>0</v>
      </c>
      <c r="W98" s="27" t="n">
        <f aca="false">IF(U98-V98&lt;0.005,0,U98-V98)</f>
        <v>0</v>
      </c>
      <c r="X98" s="27" t="n">
        <f aca="false">MAX(0,IF(N(W97)&lt;=0.005,T98,T98+N('Min gæld'!$E$9)-V98))</f>
        <v>4800</v>
      </c>
      <c r="Y98" s="27" t="n">
        <f aca="false">IF(N(AA97)&lt;=0.005,0,N(AA97)*(1+N('Min gæld'!$D$10)/12))</f>
        <v>0</v>
      </c>
      <c r="Z98" s="27" t="n">
        <f aca="false">IF(Y98&lt;=0,0,MIN(Y98,N('Min gæld'!$E$10)+X98))</f>
        <v>0</v>
      </c>
      <c r="AA98" s="27" t="n">
        <f aca="false">IF(Y98-Z98&lt;0.005,0,Y98-Z98)</f>
        <v>0</v>
      </c>
      <c r="AB98" s="27" t="n">
        <f aca="false">MAX(0,IF(N(AA97)&lt;=0.005,X98,X98+N('Min gæld'!$E$10)-Z98))</f>
        <v>4800</v>
      </c>
      <c r="AC98" s="27" t="n">
        <f aca="false">IF(N(AE97)&lt;=0.005,0,N(AE97)*(1+N('Min gæld'!$D$11)/12))</f>
        <v>0</v>
      </c>
      <c r="AD98" s="27" t="n">
        <f aca="false">IF(AC98&lt;=0,0,MIN(AC98,N('Min gæld'!$E$11)+AB98))</f>
        <v>0</v>
      </c>
      <c r="AE98" s="27" t="n">
        <f aca="false">IF(AC98-AD98&lt;0.005,0,AC98-AD98)</f>
        <v>0</v>
      </c>
      <c r="AF98" s="27" t="n">
        <f aca="false">MAX(0,IF(N(AE97)&lt;=0.005,AB98,AB98+N('Min gæld'!$E$11)-AD98))</f>
        <v>4800</v>
      </c>
      <c r="AG98" s="27" t="n">
        <f aca="false">IF(N(AI97)&lt;=0.005,0,N(AI97)*(1+N('Min gæld'!$D$12)/12))</f>
        <v>0</v>
      </c>
      <c r="AH98" s="27" t="n">
        <f aca="false">IF(AG98&lt;=0,0,MIN(AG98,N('Min gæld'!$E$12)+AF98))</f>
        <v>0</v>
      </c>
      <c r="AI98" s="27" t="n">
        <f aca="false">IF(AG98-AH98&lt;0.005,0,AG98-AH98)</f>
        <v>0</v>
      </c>
      <c r="AJ98" s="27" t="n">
        <f aca="false">G98+K98+O98+S98+W98+AA98+AE98+AI98</f>
        <v>0</v>
      </c>
      <c r="AK98" s="28" t="n">
        <f aca="false">IF(E98&gt;0,E98-N(G97),0)+IF(I98&gt;0,I98-N(K97),0)+IF(M98&gt;0,M98-N(O97),0)+IF(Q98&gt;0,Q98-N(S97),0)+IF(U98&gt;0,U98-N(W97),0)+IF(Y98&gt;0,Y98-N(AA97),0)+IF(AC98&gt;0,AC98-N(AE97),0)+IF(AG98&gt;0,AG98-N(AI97),0)</f>
        <v>0</v>
      </c>
    </row>
    <row r="99" customFormat="false" ht="15" hidden="false" customHeight="false" outlineLevel="0" collapsed="false">
      <c r="A99" s="25" t="n">
        <v>94</v>
      </c>
      <c r="B99" s="26" t="n">
        <f aca="false">EDATE('Min gæld'!$C$16,93)</f>
        <v>49218</v>
      </c>
      <c r="C99" s="27" t="n">
        <f aca="false">N('Min gæld'!$C$15)+IF(N(G98)&lt;=0.005,N('Min gæld'!$E$5),0)+IF(N(K98)&lt;=0.005,N('Min gæld'!$E$6),0)+IF(N(O98)&lt;=0.005,N('Min gæld'!$E$7),0)+IF(N(S98)&lt;=0.005,N('Min gæld'!$E$8),0)+IF(N(W98)&lt;=0.005,N('Min gæld'!$E$9),0)+IF(N(AA98)&lt;=0.005,N('Min gæld'!$E$10),0)+IF(N(AE98)&lt;=0.005,N('Min gæld'!$E$11),0)+IF(N(AI98)&lt;=0.005,N('Min gæld'!$E$12),0)</f>
        <v>4800</v>
      </c>
      <c r="D99" s="27" t="n">
        <f aca="false">MAX(0,C99)</f>
        <v>4800</v>
      </c>
      <c r="E99" s="27" t="n">
        <f aca="false">IF(N(G98)&lt;=0.005,0,N(G98)*(1+N('Min gæld'!$D$5)/12))</f>
        <v>0</v>
      </c>
      <c r="F99" s="27" t="n">
        <f aca="false">IF(E99&lt;=0,0,MIN(E99,N('Min gæld'!$E$5)+D99))</f>
        <v>0</v>
      </c>
      <c r="G99" s="27" t="n">
        <f aca="false">IF(E99-F99&lt;0.005,0,E99-F99)</f>
        <v>0</v>
      </c>
      <c r="H99" s="27" t="n">
        <f aca="false">MAX(0,IF(N(G98)&lt;=0.005,D99,D99+N('Min gæld'!$E$5)-F99))</f>
        <v>4800</v>
      </c>
      <c r="I99" s="27" t="n">
        <f aca="false">IF(N(K98)&lt;=0.005,0,N(K98)*(1+N('Min gæld'!$D$6)/12))</f>
        <v>0</v>
      </c>
      <c r="J99" s="27" t="n">
        <f aca="false">IF(I99&lt;=0,0,MIN(I99,N('Min gæld'!$E$6)+H99))</f>
        <v>0</v>
      </c>
      <c r="K99" s="27" t="n">
        <f aca="false">IF(I99-J99&lt;0.005,0,I99-J99)</f>
        <v>0</v>
      </c>
      <c r="L99" s="27" t="n">
        <f aca="false">MAX(0,IF(N(K98)&lt;=0.005,H99,H99+N('Min gæld'!$E$6)-J99))</f>
        <v>4800</v>
      </c>
      <c r="M99" s="27" t="n">
        <f aca="false">IF(N(O98)&lt;=0.005,0,N(O98)*(1+N('Min gæld'!$D$7)/12))</f>
        <v>0</v>
      </c>
      <c r="N99" s="27" t="n">
        <f aca="false">IF(M99&lt;=0,0,MIN(M99,N('Min gæld'!$E$7)+L99))</f>
        <v>0</v>
      </c>
      <c r="O99" s="27" t="n">
        <f aca="false">IF(M99-N99&lt;0.005,0,M99-N99)</f>
        <v>0</v>
      </c>
      <c r="P99" s="27" t="n">
        <f aca="false">MAX(0,IF(N(O98)&lt;=0.005,L99,L99+N('Min gæld'!$E$7)-N99))</f>
        <v>4800</v>
      </c>
      <c r="Q99" s="27" t="n">
        <f aca="false">IF(N(S98)&lt;=0.005,0,N(S98)*(1+N('Min gæld'!$D$8)/12))</f>
        <v>0</v>
      </c>
      <c r="R99" s="27" t="n">
        <f aca="false">IF(Q99&lt;=0,0,MIN(Q99,N('Min gæld'!$E$8)+P99))</f>
        <v>0</v>
      </c>
      <c r="S99" s="27" t="n">
        <f aca="false">IF(Q99-R99&lt;0.005,0,Q99-R99)</f>
        <v>0</v>
      </c>
      <c r="T99" s="27" t="n">
        <f aca="false">MAX(0,IF(N(S98)&lt;=0.005,P99,P99+N('Min gæld'!$E$8)-R99))</f>
        <v>4800</v>
      </c>
      <c r="U99" s="27" t="n">
        <f aca="false">IF(N(W98)&lt;=0.005,0,N(W98)*(1+N('Min gæld'!$D$9)/12))</f>
        <v>0</v>
      </c>
      <c r="V99" s="27" t="n">
        <f aca="false">IF(U99&lt;=0,0,MIN(U99,N('Min gæld'!$E$9)+T99))</f>
        <v>0</v>
      </c>
      <c r="W99" s="27" t="n">
        <f aca="false">IF(U99-V99&lt;0.005,0,U99-V99)</f>
        <v>0</v>
      </c>
      <c r="X99" s="27" t="n">
        <f aca="false">MAX(0,IF(N(W98)&lt;=0.005,T99,T99+N('Min gæld'!$E$9)-V99))</f>
        <v>4800</v>
      </c>
      <c r="Y99" s="27" t="n">
        <f aca="false">IF(N(AA98)&lt;=0.005,0,N(AA98)*(1+N('Min gæld'!$D$10)/12))</f>
        <v>0</v>
      </c>
      <c r="Z99" s="27" t="n">
        <f aca="false">IF(Y99&lt;=0,0,MIN(Y99,N('Min gæld'!$E$10)+X99))</f>
        <v>0</v>
      </c>
      <c r="AA99" s="27" t="n">
        <f aca="false">IF(Y99-Z99&lt;0.005,0,Y99-Z99)</f>
        <v>0</v>
      </c>
      <c r="AB99" s="27" t="n">
        <f aca="false">MAX(0,IF(N(AA98)&lt;=0.005,X99,X99+N('Min gæld'!$E$10)-Z99))</f>
        <v>4800</v>
      </c>
      <c r="AC99" s="27" t="n">
        <f aca="false">IF(N(AE98)&lt;=0.005,0,N(AE98)*(1+N('Min gæld'!$D$11)/12))</f>
        <v>0</v>
      </c>
      <c r="AD99" s="27" t="n">
        <f aca="false">IF(AC99&lt;=0,0,MIN(AC99,N('Min gæld'!$E$11)+AB99))</f>
        <v>0</v>
      </c>
      <c r="AE99" s="27" t="n">
        <f aca="false">IF(AC99-AD99&lt;0.005,0,AC99-AD99)</f>
        <v>0</v>
      </c>
      <c r="AF99" s="27" t="n">
        <f aca="false">MAX(0,IF(N(AE98)&lt;=0.005,AB99,AB99+N('Min gæld'!$E$11)-AD99))</f>
        <v>4800</v>
      </c>
      <c r="AG99" s="27" t="n">
        <f aca="false">IF(N(AI98)&lt;=0.005,0,N(AI98)*(1+N('Min gæld'!$D$12)/12))</f>
        <v>0</v>
      </c>
      <c r="AH99" s="27" t="n">
        <f aca="false">IF(AG99&lt;=0,0,MIN(AG99,N('Min gæld'!$E$12)+AF99))</f>
        <v>0</v>
      </c>
      <c r="AI99" s="27" t="n">
        <f aca="false">IF(AG99-AH99&lt;0.005,0,AG99-AH99)</f>
        <v>0</v>
      </c>
      <c r="AJ99" s="27" t="n">
        <f aca="false">G99+K99+O99+S99+W99+AA99+AE99+AI99</f>
        <v>0</v>
      </c>
      <c r="AK99" s="28" t="n">
        <f aca="false">IF(E99&gt;0,E99-N(G98),0)+IF(I99&gt;0,I99-N(K98),0)+IF(M99&gt;0,M99-N(O98),0)+IF(Q99&gt;0,Q99-N(S98),0)+IF(U99&gt;0,U99-N(W98),0)+IF(Y99&gt;0,Y99-N(AA98),0)+IF(AC99&gt;0,AC99-N(AE98),0)+IF(AG99&gt;0,AG99-N(AI98),0)</f>
        <v>0</v>
      </c>
    </row>
    <row r="100" customFormat="false" ht="15" hidden="false" customHeight="false" outlineLevel="0" collapsed="false">
      <c r="A100" s="25" t="n">
        <v>95</v>
      </c>
      <c r="B100" s="26" t="n">
        <f aca="false">EDATE('Min gæld'!$C$16,94)</f>
        <v>49249</v>
      </c>
      <c r="C100" s="27" t="n">
        <f aca="false">N('Min gæld'!$C$15)+IF(N(G99)&lt;=0.005,N('Min gæld'!$E$5),0)+IF(N(K99)&lt;=0.005,N('Min gæld'!$E$6),0)+IF(N(O99)&lt;=0.005,N('Min gæld'!$E$7),0)+IF(N(S99)&lt;=0.005,N('Min gæld'!$E$8),0)+IF(N(W99)&lt;=0.005,N('Min gæld'!$E$9),0)+IF(N(AA99)&lt;=0.005,N('Min gæld'!$E$10),0)+IF(N(AE99)&lt;=0.005,N('Min gæld'!$E$11),0)+IF(N(AI99)&lt;=0.005,N('Min gæld'!$E$12),0)</f>
        <v>4800</v>
      </c>
      <c r="D100" s="27" t="n">
        <f aca="false">MAX(0,C100)</f>
        <v>4800</v>
      </c>
      <c r="E100" s="27" t="n">
        <f aca="false">IF(N(G99)&lt;=0.005,0,N(G99)*(1+N('Min gæld'!$D$5)/12))</f>
        <v>0</v>
      </c>
      <c r="F100" s="27" t="n">
        <f aca="false">IF(E100&lt;=0,0,MIN(E100,N('Min gæld'!$E$5)+D100))</f>
        <v>0</v>
      </c>
      <c r="G100" s="27" t="n">
        <f aca="false">IF(E100-F100&lt;0.005,0,E100-F100)</f>
        <v>0</v>
      </c>
      <c r="H100" s="27" t="n">
        <f aca="false">MAX(0,IF(N(G99)&lt;=0.005,D100,D100+N('Min gæld'!$E$5)-F100))</f>
        <v>4800</v>
      </c>
      <c r="I100" s="27" t="n">
        <f aca="false">IF(N(K99)&lt;=0.005,0,N(K99)*(1+N('Min gæld'!$D$6)/12))</f>
        <v>0</v>
      </c>
      <c r="J100" s="27" t="n">
        <f aca="false">IF(I100&lt;=0,0,MIN(I100,N('Min gæld'!$E$6)+H100))</f>
        <v>0</v>
      </c>
      <c r="K100" s="27" t="n">
        <f aca="false">IF(I100-J100&lt;0.005,0,I100-J100)</f>
        <v>0</v>
      </c>
      <c r="L100" s="27" t="n">
        <f aca="false">MAX(0,IF(N(K99)&lt;=0.005,H100,H100+N('Min gæld'!$E$6)-J100))</f>
        <v>4800</v>
      </c>
      <c r="M100" s="27" t="n">
        <f aca="false">IF(N(O99)&lt;=0.005,0,N(O99)*(1+N('Min gæld'!$D$7)/12))</f>
        <v>0</v>
      </c>
      <c r="N100" s="27" t="n">
        <f aca="false">IF(M100&lt;=0,0,MIN(M100,N('Min gæld'!$E$7)+L100))</f>
        <v>0</v>
      </c>
      <c r="O100" s="27" t="n">
        <f aca="false">IF(M100-N100&lt;0.005,0,M100-N100)</f>
        <v>0</v>
      </c>
      <c r="P100" s="27" t="n">
        <f aca="false">MAX(0,IF(N(O99)&lt;=0.005,L100,L100+N('Min gæld'!$E$7)-N100))</f>
        <v>4800</v>
      </c>
      <c r="Q100" s="27" t="n">
        <f aca="false">IF(N(S99)&lt;=0.005,0,N(S99)*(1+N('Min gæld'!$D$8)/12))</f>
        <v>0</v>
      </c>
      <c r="R100" s="27" t="n">
        <f aca="false">IF(Q100&lt;=0,0,MIN(Q100,N('Min gæld'!$E$8)+P100))</f>
        <v>0</v>
      </c>
      <c r="S100" s="27" t="n">
        <f aca="false">IF(Q100-R100&lt;0.005,0,Q100-R100)</f>
        <v>0</v>
      </c>
      <c r="T100" s="27" t="n">
        <f aca="false">MAX(0,IF(N(S99)&lt;=0.005,P100,P100+N('Min gæld'!$E$8)-R100))</f>
        <v>4800</v>
      </c>
      <c r="U100" s="27" t="n">
        <f aca="false">IF(N(W99)&lt;=0.005,0,N(W99)*(1+N('Min gæld'!$D$9)/12))</f>
        <v>0</v>
      </c>
      <c r="V100" s="27" t="n">
        <f aca="false">IF(U100&lt;=0,0,MIN(U100,N('Min gæld'!$E$9)+T100))</f>
        <v>0</v>
      </c>
      <c r="W100" s="27" t="n">
        <f aca="false">IF(U100-V100&lt;0.005,0,U100-V100)</f>
        <v>0</v>
      </c>
      <c r="X100" s="27" t="n">
        <f aca="false">MAX(0,IF(N(W99)&lt;=0.005,T100,T100+N('Min gæld'!$E$9)-V100))</f>
        <v>4800</v>
      </c>
      <c r="Y100" s="27" t="n">
        <f aca="false">IF(N(AA99)&lt;=0.005,0,N(AA99)*(1+N('Min gæld'!$D$10)/12))</f>
        <v>0</v>
      </c>
      <c r="Z100" s="27" t="n">
        <f aca="false">IF(Y100&lt;=0,0,MIN(Y100,N('Min gæld'!$E$10)+X100))</f>
        <v>0</v>
      </c>
      <c r="AA100" s="27" t="n">
        <f aca="false">IF(Y100-Z100&lt;0.005,0,Y100-Z100)</f>
        <v>0</v>
      </c>
      <c r="AB100" s="27" t="n">
        <f aca="false">MAX(0,IF(N(AA99)&lt;=0.005,X100,X100+N('Min gæld'!$E$10)-Z100))</f>
        <v>4800</v>
      </c>
      <c r="AC100" s="27" t="n">
        <f aca="false">IF(N(AE99)&lt;=0.005,0,N(AE99)*(1+N('Min gæld'!$D$11)/12))</f>
        <v>0</v>
      </c>
      <c r="AD100" s="27" t="n">
        <f aca="false">IF(AC100&lt;=0,0,MIN(AC100,N('Min gæld'!$E$11)+AB100))</f>
        <v>0</v>
      </c>
      <c r="AE100" s="27" t="n">
        <f aca="false">IF(AC100-AD100&lt;0.005,0,AC100-AD100)</f>
        <v>0</v>
      </c>
      <c r="AF100" s="27" t="n">
        <f aca="false">MAX(0,IF(N(AE99)&lt;=0.005,AB100,AB100+N('Min gæld'!$E$11)-AD100))</f>
        <v>4800</v>
      </c>
      <c r="AG100" s="27" t="n">
        <f aca="false">IF(N(AI99)&lt;=0.005,0,N(AI99)*(1+N('Min gæld'!$D$12)/12))</f>
        <v>0</v>
      </c>
      <c r="AH100" s="27" t="n">
        <f aca="false">IF(AG100&lt;=0,0,MIN(AG100,N('Min gæld'!$E$12)+AF100))</f>
        <v>0</v>
      </c>
      <c r="AI100" s="27" t="n">
        <f aca="false">IF(AG100-AH100&lt;0.005,0,AG100-AH100)</f>
        <v>0</v>
      </c>
      <c r="AJ100" s="27" t="n">
        <f aca="false">G100+K100+O100+S100+W100+AA100+AE100+AI100</f>
        <v>0</v>
      </c>
      <c r="AK100" s="28" t="n">
        <f aca="false">IF(E100&gt;0,E100-N(G99),0)+IF(I100&gt;0,I100-N(K99),0)+IF(M100&gt;0,M100-N(O99),0)+IF(Q100&gt;0,Q100-N(S99),0)+IF(U100&gt;0,U100-N(W99),0)+IF(Y100&gt;0,Y100-N(AA99),0)+IF(AC100&gt;0,AC100-N(AE99),0)+IF(AG100&gt;0,AG100-N(AI99),0)</f>
        <v>0</v>
      </c>
    </row>
    <row r="101" customFormat="false" ht="15" hidden="false" customHeight="false" outlineLevel="0" collapsed="false">
      <c r="A101" s="25" t="n">
        <v>96</v>
      </c>
      <c r="B101" s="26" t="n">
        <f aca="false">EDATE('Min gæld'!$C$16,95)</f>
        <v>49279</v>
      </c>
      <c r="C101" s="27" t="n">
        <f aca="false">N('Min gæld'!$C$15)+IF(N(G100)&lt;=0.005,N('Min gæld'!$E$5),0)+IF(N(K100)&lt;=0.005,N('Min gæld'!$E$6),0)+IF(N(O100)&lt;=0.005,N('Min gæld'!$E$7),0)+IF(N(S100)&lt;=0.005,N('Min gæld'!$E$8),0)+IF(N(W100)&lt;=0.005,N('Min gæld'!$E$9),0)+IF(N(AA100)&lt;=0.005,N('Min gæld'!$E$10),0)+IF(N(AE100)&lt;=0.005,N('Min gæld'!$E$11),0)+IF(N(AI100)&lt;=0.005,N('Min gæld'!$E$12),0)</f>
        <v>4800</v>
      </c>
      <c r="D101" s="27" t="n">
        <f aca="false">MAX(0,C101)</f>
        <v>4800</v>
      </c>
      <c r="E101" s="27" t="n">
        <f aca="false">IF(N(G100)&lt;=0.005,0,N(G100)*(1+N('Min gæld'!$D$5)/12))</f>
        <v>0</v>
      </c>
      <c r="F101" s="27" t="n">
        <f aca="false">IF(E101&lt;=0,0,MIN(E101,N('Min gæld'!$E$5)+D101))</f>
        <v>0</v>
      </c>
      <c r="G101" s="27" t="n">
        <f aca="false">IF(E101-F101&lt;0.005,0,E101-F101)</f>
        <v>0</v>
      </c>
      <c r="H101" s="27" t="n">
        <f aca="false">MAX(0,IF(N(G100)&lt;=0.005,D101,D101+N('Min gæld'!$E$5)-F101))</f>
        <v>4800</v>
      </c>
      <c r="I101" s="27" t="n">
        <f aca="false">IF(N(K100)&lt;=0.005,0,N(K100)*(1+N('Min gæld'!$D$6)/12))</f>
        <v>0</v>
      </c>
      <c r="J101" s="27" t="n">
        <f aca="false">IF(I101&lt;=0,0,MIN(I101,N('Min gæld'!$E$6)+H101))</f>
        <v>0</v>
      </c>
      <c r="K101" s="27" t="n">
        <f aca="false">IF(I101-J101&lt;0.005,0,I101-J101)</f>
        <v>0</v>
      </c>
      <c r="L101" s="27" t="n">
        <f aca="false">MAX(0,IF(N(K100)&lt;=0.005,H101,H101+N('Min gæld'!$E$6)-J101))</f>
        <v>4800</v>
      </c>
      <c r="M101" s="27" t="n">
        <f aca="false">IF(N(O100)&lt;=0.005,0,N(O100)*(1+N('Min gæld'!$D$7)/12))</f>
        <v>0</v>
      </c>
      <c r="N101" s="27" t="n">
        <f aca="false">IF(M101&lt;=0,0,MIN(M101,N('Min gæld'!$E$7)+L101))</f>
        <v>0</v>
      </c>
      <c r="O101" s="27" t="n">
        <f aca="false">IF(M101-N101&lt;0.005,0,M101-N101)</f>
        <v>0</v>
      </c>
      <c r="P101" s="27" t="n">
        <f aca="false">MAX(0,IF(N(O100)&lt;=0.005,L101,L101+N('Min gæld'!$E$7)-N101))</f>
        <v>4800</v>
      </c>
      <c r="Q101" s="27" t="n">
        <f aca="false">IF(N(S100)&lt;=0.005,0,N(S100)*(1+N('Min gæld'!$D$8)/12))</f>
        <v>0</v>
      </c>
      <c r="R101" s="27" t="n">
        <f aca="false">IF(Q101&lt;=0,0,MIN(Q101,N('Min gæld'!$E$8)+P101))</f>
        <v>0</v>
      </c>
      <c r="S101" s="27" t="n">
        <f aca="false">IF(Q101-R101&lt;0.005,0,Q101-R101)</f>
        <v>0</v>
      </c>
      <c r="T101" s="27" t="n">
        <f aca="false">MAX(0,IF(N(S100)&lt;=0.005,P101,P101+N('Min gæld'!$E$8)-R101))</f>
        <v>4800</v>
      </c>
      <c r="U101" s="27" t="n">
        <f aca="false">IF(N(W100)&lt;=0.005,0,N(W100)*(1+N('Min gæld'!$D$9)/12))</f>
        <v>0</v>
      </c>
      <c r="V101" s="27" t="n">
        <f aca="false">IF(U101&lt;=0,0,MIN(U101,N('Min gæld'!$E$9)+T101))</f>
        <v>0</v>
      </c>
      <c r="W101" s="27" t="n">
        <f aca="false">IF(U101-V101&lt;0.005,0,U101-V101)</f>
        <v>0</v>
      </c>
      <c r="X101" s="27" t="n">
        <f aca="false">MAX(0,IF(N(W100)&lt;=0.005,T101,T101+N('Min gæld'!$E$9)-V101))</f>
        <v>4800</v>
      </c>
      <c r="Y101" s="27" t="n">
        <f aca="false">IF(N(AA100)&lt;=0.005,0,N(AA100)*(1+N('Min gæld'!$D$10)/12))</f>
        <v>0</v>
      </c>
      <c r="Z101" s="27" t="n">
        <f aca="false">IF(Y101&lt;=0,0,MIN(Y101,N('Min gæld'!$E$10)+X101))</f>
        <v>0</v>
      </c>
      <c r="AA101" s="27" t="n">
        <f aca="false">IF(Y101-Z101&lt;0.005,0,Y101-Z101)</f>
        <v>0</v>
      </c>
      <c r="AB101" s="27" t="n">
        <f aca="false">MAX(0,IF(N(AA100)&lt;=0.005,X101,X101+N('Min gæld'!$E$10)-Z101))</f>
        <v>4800</v>
      </c>
      <c r="AC101" s="27" t="n">
        <f aca="false">IF(N(AE100)&lt;=0.005,0,N(AE100)*(1+N('Min gæld'!$D$11)/12))</f>
        <v>0</v>
      </c>
      <c r="AD101" s="27" t="n">
        <f aca="false">IF(AC101&lt;=0,0,MIN(AC101,N('Min gæld'!$E$11)+AB101))</f>
        <v>0</v>
      </c>
      <c r="AE101" s="27" t="n">
        <f aca="false">IF(AC101-AD101&lt;0.005,0,AC101-AD101)</f>
        <v>0</v>
      </c>
      <c r="AF101" s="27" t="n">
        <f aca="false">MAX(0,IF(N(AE100)&lt;=0.005,AB101,AB101+N('Min gæld'!$E$11)-AD101))</f>
        <v>4800</v>
      </c>
      <c r="AG101" s="27" t="n">
        <f aca="false">IF(N(AI100)&lt;=0.005,0,N(AI100)*(1+N('Min gæld'!$D$12)/12))</f>
        <v>0</v>
      </c>
      <c r="AH101" s="27" t="n">
        <f aca="false">IF(AG101&lt;=0,0,MIN(AG101,N('Min gæld'!$E$12)+AF101))</f>
        <v>0</v>
      </c>
      <c r="AI101" s="27" t="n">
        <f aca="false">IF(AG101-AH101&lt;0.005,0,AG101-AH101)</f>
        <v>0</v>
      </c>
      <c r="AJ101" s="27" t="n">
        <f aca="false">G101+K101+O101+S101+W101+AA101+AE101+AI101</f>
        <v>0</v>
      </c>
      <c r="AK101" s="28" t="n">
        <f aca="false">IF(E101&gt;0,E101-N(G100),0)+IF(I101&gt;0,I101-N(K100),0)+IF(M101&gt;0,M101-N(O100),0)+IF(Q101&gt;0,Q101-N(S100),0)+IF(U101&gt;0,U101-N(W100),0)+IF(Y101&gt;0,Y101-N(AA100),0)+IF(AC101&gt;0,AC101-N(AE100),0)+IF(AG101&gt;0,AG101-N(AI100),0)</f>
        <v>0</v>
      </c>
    </row>
    <row r="102" customFormat="false" ht="15" hidden="false" customHeight="false" outlineLevel="0" collapsed="false">
      <c r="A102" s="25" t="n">
        <v>97</v>
      </c>
      <c r="B102" s="26" t="n">
        <f aca="false">EDATE('Min gæld'!$C$16,96)</f>
        <v>49310</v>
      </c>
      <c r="C102" s="27" t="n">
        <f aca="false">N('Min gæld'!$C$15)+IF(N(G101)&lt;=0.005,N('Min gæld'!$E$5),0)+IF(N(K101)&lt;=0.005,N('Min gæld'!$E$6),0)+IF(N(O101)&lt;=0.005,N('Min gæld'!$E$7),0)+IF(N(S101)&lt;=0.005,N('Min gæld'!$E$8),0)+IF(N(W101)&lt;=0.005,N('Min gæld'!$E$9),0)+IF(N(AA101)&lt;=0.005,N('Min gæld'!$E$10),0)+IF(N(AE101)&lt;=0.005,N('Min gæld'!$E$11),0)+IF(N(AI101)&lt;=0.005,N('Min gæld'!$E$12),0)</f>
        <v>4800</v>
      </c>
      <c r="D102" s="27" t="n">
        <f aca="false">MAX(0,C102)</f>
        <v>4800</v>
      </c>
      <c r="E102" s="27" t="n">
        <f aca="false">IF(N(G101)&lt;=0.005,0,N(G101)*(1+N('Min gæld'!$D$5)/12))</f>
        <v>0</v>
      </c>
      <c r="F102" s="27" t="n">
        <f aca="false">IF(E102&lt;=0,0,MIN(E102,N('Min gæld'!$E$5)+D102))</f>
        <v>0</v>
      </c>
      <c r="G102" s="27" t="n">
        <f aca="false">IF(E102-F102&lt;0.005,0,E102-F102)</f>
        <v>0</v>
      </c>
      <c r="H102" s="27" t="n">
        <f aca="false">MAX(0,IF(N(G101)&lt;=0.005,D102,D102+N('Min gæld'!$E$5)-F102))</f>
        <v>4800</v>
      </c>
      <c r="I102" s="27" t="n">
        <f aca="false">IF(N(K101)&lt;=0.005,0,N(K101)*(1+N('Min gæld'!$D$6)/12))</f>
        <v>0</v>
      </c>
      <c r="J102" s="27" t="n">
        <f aca="false">IF(I102&lt;=0,0,MIN(I102,N('Min gæld'!$E$6)+H102))</f>
        <v>0</v>
      </c>
      <c r="K102" s="27" t="n">
        <f aca="false">IF(I102-J102&lt;0.005,0,I102-J102)</f>
        <v>0</v>
      </c>
      <c r="L102" s="27" t="n">
        <f aca="false">MAX(0,IF(N(K101)&lt;=0.005,H102,H102+N('Min gæld'!$E$6)-J102))</f>
        <v>4800</v>
      </c>
      <c r="M102" s="27" t="n">
        <f aca="false">IF(N(O101)&lt;=0.005,0,N(O101)*(1+N('Min gæld'!$D$7)/12))</f>
        <v>0</v>
      </c>
      <c r="N102" s="27" t="n">
        <f aca="false">IF(M102&lt;=0,0,MIN(M102,N('Min gæld'!$E$7)+L102))</f>
        <v>0</v>
      </c>
      <c r="O102" s="27" t="n">
        <f aca="false">IF(M102-N102&lt;0.005,0,M102-N102)</f>
        <v>0</v>
      </c>
      <c r="P102" s="27" t="n">
        <f aca="false">MAX(0,IF(N(O101)&lt;=0.005,L102,L102+N('Min gæld'!$E$7)-N102))</f>
        <v>4800</v>
      </c>
      <c r="Q102" s="27" t="n">
        <f aca="false">IF(N(S101)&lt;=0.005,0,N(S101)*(1+N('Min gæld'!$D$8)/12))</f>
        <v>0</v>
      </c>
      <c r="R102" s="27" t="n">
        <f aca="false">IF(Q102&lt;=0,0,MIN(Q102,N('Min gæld'!$E$8)+P102))</f>
        <v>0</v>
      </c>
      <c r="S102" s="27" t="n">
        <f aca="false">IF(Q102-R102&lt;0.005,0,Q102-R102)</f>
        <v>0</v>
      </c>
      <c r="T102" s="27" t="n">
        <f aca="false">MAX(0,IF(N(S101)&lt;=0.005,P102,P102+N('Min gæld'!$E$8)-R102))</f>
        <v>4800</v>
      </c>
      <c r="U102" s="27" t="n">
        <f aca="false">IF(N(W101)&lt;=0.005,0,N(W101)*(1+N('Min gæld'!$D$9)/12))</f>
        <v>0</v>
      </c>
      <c r="V102" s="27" t="n">
        <f aca="false">IF(U102&lt;=0,0,MIN(U102,N('Min gæld'!$E$9)+T102))</f>
        <v>0</v>
      </c>
      <c r="W102" s="27" t="n">
        <f aca="false">IF(U102-V102&lt;0.005,0,U102-V102)</f>
        <v>0</v>
      </c>
      <c r="X102" s="27" t="n">
        <f aca="false">MAX(0,IF(N(W101)&lt;=0.005,T102,T102+N('Min gæld'!$E$9)-V102))</f>
        <v>4800</v>
      </c>
      <c r="Y102" s="27" t="n">
        <f aca="false">IF(N(AA101)&lt;=0.005,0,N(AA101)*(1+N('Min gæld'!$D$10)/12))</f>
        <v>0</v>
      </c>
      <c r="Z102" s="27" t="n">
        <f aca="false">IF(Y102&lt;=0,0,MIN(Y102,N('Min gæld'!$E$10)+X102))</f>
        <v>0</v>
      </c>
      <c r="AA102" s="27" t="n">
        <f aca="false">IF(Y102-Z102&lt;0.005,0,Y102-Z102)</f>
        <v>0</v>
      </c>
      <c r="AB102" s="27" t="n">
        <f aca="false">MAX(0,IF(N(AA101)&lt;=0.005,X102,X102+N('Min gæld'!$E$10)-Z102))</f>
        <v>4800</v>
      </c>
      <c r="AC102" s="27" t="n">
        <f aca="false">IF(N(AE101)&lt;=0.005,0,N(AE101)*(1+N('Min gæld'!$D$11)/12))</f>
        <v>0</v>
      </c>
      <c r="AD102" s="27" t="n">
        <f aca="false">IF(AC102&lt;=0,0,MIN(AC102,N('Min gæld'!$E$11)+AB102))</f>
        <v>0</v>
      </c>
      <c r="AE102" s="27" t="n">
        <f aca="false">IF(AC102-AD102&lt;0.005,0,AC102-AD102)</f>
        <v>0</v>
      </c>
      <c r="AF102" s="27" t="n">
        <f aca="false">MAX(0,IF(N(AE101)&lt;=0.005,AB102,AB102+N('Min gæld'!$E$11)-AD102))</f>
        <v>4800</v>
      </c>
      <c r="AG102" s="27" t="n">
        <f aca="false">IF(N(AI101)&lt;=0.005,0,N(AI101)*(1+N('Min gæld'!$D$12)/12))</f>
        <v>0</v>
      </c>
      <c r="AH102" s="27" t="n">
        <f aca="false">IF(AG102&lt;=0,0,MIN(AG102,N('Min gæld'!$E$12)+AF102))</f>
        <v>0</v>
      </c>
      <c r="AI102" s="27" t="n">
        <f aca="false">IF(AG102-AH102&lt;0.005,0,AG102-AH102)</f>
        <v>0</v>
      </c>
      <c r="AJ102" s="27" t="n">
        <f aca="false">G102+K102+O102+S102+W102+AA102+AE102+AI102</f>
        <v>0</v>
      </c>
      <c r="AK102" s="28" t="n">
        <f aca="false">IF(E102&gt;0,E102-N(G101),0)+IF(I102&gt;0,I102-N(K101),0)+IF(M102&gt;0,M102-N(O101),0)+IF(Q102&gt;0,Q102-N(S101),0)+IF(U102&gt;0,U102-N(W101),0)+IF(Y102&gt;0,Y102-N(AA101),0)+IF(AC102&gt;0,AC102-N(AE101),0)+IF(AG102&gt;0,AG102-N(AI101),0)</f>
        <v>0</v>
      </c>
    </row>
    <row r="103" customFormat="false" ht="15" hidden="false" customHeight="false" outlineLevel="0" collapsed="false">
      <c r="A103" s="25" t="n">
        <v>98</v>
      </c>
      <c r="B103" s="26" t="n">
        <f aca="false">EDATE('Min gæld'!$C$16,97)</f>
        <v>49341</v>
      </c>
      <c r="C103" s="27" t="n">
        <f aca="false">N('Min gæld'!$C$15)+IF(N(G102)&lt;=0.005,N('Min gæld'!$E$5),0)+IF(N(K102)&lt;=0.005,N('Min gæld'!$E$6),0)+IF(N(O102)&lt;=0.005,N('Min gæld'!$E$7),0)+IF(N(S102)&lt;=0.005,N('Min gæld'!$E$8),0)+IF(N(W102)&lt;=0.005,N('Min gæld'!$E$9),0)+IF(N(AA102)&lt;=0.005,N('Min gæld'!$E$10),0)+IF(N(AE102)&lt;=0.005,N('Min gæld'!$E$11),0)+IF(N(AI102)&lt;=0.005,N('Min gæld'!$E$12),0)</f>
        <v>4800</v>
      </c>
      <c r="D103" s="27" t="n">
        <f aca="false">MAX(0,C103)</f>
        <v>4800</v>
      </c>
      <c r="E103" s="27" t="n">
        <f aca="false">IF(N(G102)&lt;=0.005,0,N(G102)*(1+N('Min gæld'!$D$5)/12))</f>
        <v>0</v>
      </c>
      <c r="F103" s="27" t="n">
        <f aca="false">IF(E103&lt;=0,0,MIN(E103,N('Min gæld'!$E$5)+D103))</f>
        <v>0</v>
      </c>
      <c r="G103" s="27" t="n">
        <f aca="false">IF(E103-F103&lt;0.005,0,E103-F103)</f>
        <v>0</v>
      </c>
      <c r="H103" s="27" t="n">
        <f aca="false">MAX(0,IF(N(G102)&lt;=0.005,D103,D103+N('Min gæld'!$E$5)-F103))</f>
        <v>4800</v>
      </c>
      <c r="I103" s="27" t="n">
        <f aca="false">IF(N(K102)&lt;=0.005,0,N(K102)*(1+N('Min gæld'!$D$6)/12))</f>
        <v>0</v>
      </c>
      <c r="J103" s="27" t="n">
        <f aca="false">IF(I103&lt;=0,0,MIN(I103,N('Min gæld'!$E$6)+H103))</f>
        <v>0</v>
      </c>
      <c r="K103" s="27" t="n">
        <f aca="false">IF(I103-J103&lt;0.005,0,I103-J103)</f>
        <v>0</v>
      </c>
      <c r="L103" s="27" t="n">
        <f aca="false">MAX(0,IF(N(K102)&lt;=0.005,H103,H103+N('Min gæld'!$E$6)-J103))</f>
        <v>4800</v>
      </c>
      <c r="M103" s="27" t="n">
        <f aca="false">IF(N(O102)&lt;=0.005,0,N(O102)*(1+N('Min gæld'!$D$7)/12))</f>
        <v>0</v>
      </c>
      <c r="N103" s="27" t="n">
        <f aca="false">IF(M103&lt;=0,0,MIN(M103,N('Min gæld'!$E$7)+L103))</f>
        <v>0</v>
      </c>
      <c r="O103" s="27" t="n">
        <f aca="false">IF(M103-N103&lt;0.005,0,M103-N103)</f>
        <v>0</v>
      </c>
      <c r="P103" s="27" t="n">
        <f aca="false">MAX(0,IF(N(O102)&lt;=0.005,L103,L103+N('Min gæld'!$E$7)-N103))</f>
        <v>4800</v>
      </c>
      <c r="Q103" s="27" t="n">
        <f aca="false">IF(N(S102)&lt;=0.005,0,N(S102)*(1+N('Min gæld'!$D$8)/12))</f>
        <v>0</v>
      </c>
      <c r="R103" s="27" t="n">
        <f aca="false">IF(Q103&lt;=0,0,MIN(Q103,N('Min gæld'!$E$8)+P103))</f>
        <v>0</v>
      </c>
      <c r="S103" s="27" t="n">
        <f aca="false">IF(Q103-R103&lt;0.005,0,Q103-R103)</f>
        <v>0</v>
      </c>
      <c r="T103" s="27" t="n">
        <f aca="false">MAX(0,IF(N(S102)&lt;=0.005,P103,P103+N('Min gæld'!$E$8)-R103))</f>
        <v>4800</v>
      </c>
      <c r="U103" s="27" t="n">
        <f aca="false">IF(N(W102)&lt;=0.005,0,N(W102)*(1+N('Min gæld'!$D$9)/12))</f>
        <v>0</v>
      </c>
      <c r="V103" s="27" t="n">
        <f aca="false">IF(U103&lt;=0,0,MIN(U103,N('Min gæld'!$E$9)+T103))</f>
        <v>0</v>
      </c>
      <c r="W103" s="27" t="n">
        <f aca="false">IF(U103-V103&lt;0.005,0,U103-V103)</f>
        <v>0</v>
      </c>
      <c r="X103" s="27" t="n">
        <f aca="false">MAX(0,IF(N(W102)&lt;=0.005,T103,T103+N('Min gæld'!$E$9)-V103))</f>
        <v>4800</v>
      </c>
      <c r="Y103" s="27" t="n">
        <f aca="false">IF(N(AA102)&lt;=0.005,0,N(AA102)*(1+N('Min gæld'!$D$10)/12))</f>
        <v>0</v>
      </c>
      <c r="Z103" s="27" t="n">
        <f aca="false">IF(Y103&lt;=0,0,MIN(Y103,N('Min gæld'!$E$10)+X103))</f>
        <v>0</v>
      </c>
      <c r="AA103" s="27" t="n">
        <f aca="false">IF(Y103-Z103&lt;0.005,0,Y103-Z103)</f>
        <v>0</v>
      </c>
      <c r="AB103" s="27" t="n">
        <f aca="false">MAX(0,IF(N(AA102)&lt;=0.005,X103,X103+N('Min gæld'!$E$10)-Z103))</f>
        <v>4800</v>
      </c>
      <c r="AC103" s="27" t="n">
        <f aca="false">IF(N(AE102)&lt;=0.005,0,N(AE102)*(1+N('Min gæld'!$D$11)/12))</f>
        <v>0</v>
      </c>
      <c r="AD103" s="27" t="n">
        <f aca="false">IF(AC103&lt;=0,0,MIN(AC103,N('Min gæld'!$E$11)+AB103))</f>
        <v>0</v>
      </c>
      <c r="AE103" s="27" t="n">
        <f aca="false">IF(AC103-AD103&lt;0.005,0,AC103-AD103)</f>
        <v>0</v>
      </c>
      <c r="AF103" s="27" t="n">
        <f aca="false">MAX(0,IF(N(AE102)&lt;=0.005,AB103,AB103+N('Min gæld'!$E$11)-AD103))</f>
        <v>4800</v>
      </c>
      <c r="AG103" s="27" t="n">
        <f aca="false">IF(N(AI102)&lt;=0.005,0,N(AI102)*(1+N('Min gæld'!$D$12)/12))</f>
        <v>0</v>
      </c>
      <c r="AH103" s="27" t="n">
        <f aca="false">IF(AG103&lt;=0,0,MIN(AG103,N('Min gæld'!$E$12)+AF103))</f>
        <v>0</v>
      </c>
      <c r="AI103" s="27" t="n">
        <f aca="false">IF(AG103-AH103&lt;0.005,0,AG103-AH103)</f>
        <v>0</v>
      </c>
      <c r="AJ103" s="27" t="n">
        <f aca="false">G103+K103+O103+S103+W103+AA103+AE103+AI103</f>
        <v>0</v>
      </c>
      <c r="AK103" s="28" t="n">
        <f aca="false">IF(E103&gt;0,E103-N(G102),0)+IF(I103&gt;0,I103-N(K102),0)+IF(M103&gt;0,M103-N(O102),0)+IF(Q103&gt;0,Q103-N(S102),0)+IF(U103&gt;0,U103-N(W102),0)+IF(Y103&gt;0,Y103-N(AA102),0)+IF(AC103&gt;0,AC103-N(AE102),0)+IF(AG103&gt;0,AG103-N(AI102),0)</f>
        <v>0</v>
      </c>
    </row>
    <row r="104" customFormat="false" ht="15" hidden="false" customHeight="false" outlineLevel="0" collapsed="false">
      <c r="A104" s="25" t="n">
        <v>99</v>
      </c>
      <c r="B104" s="26" t="n">
        <f aca="false">EDATE('Min gæld'!$C$16,98)</f>
        <v>49369</v>
      </c>
      <c r="C104" s="27" t="n">
        <f aca="false">N('Min gæld'!$C$15)+IF(N(G103)&lt;=0.005,N('Min gæld'!$E$5),0)+IF(N(K103)&lt;=0.005,N('Min gæld'!$E$6),0)+IF(N(O103)&lt;=0.005,N('Min gæld'!$E$7),0)+IF(N(S103)&lt;=0.005,N('Min gæld'!$E$8),0)+IF(N(W103)&lt;=0.005,N('Min gæld'!$E$9),0)+IF(N(AA103)&lt;=0.005,N('Min gæld'!$E$10),0)+IF(N(AE103)&lt;=0.005,N('Min gæld'!$E$11),0)+IF(N(AI103)&lt;=0.005,N('Min gæld'!$E$12),0)</f>
        <v>4800</v>
      </c>
      <c r="D104" s="27" t="n">
        <f aca="false">MAX(0,C104)</f>
        <v>4800</v>
      </c>
      <c r="E104" s="27" t="n">
        <f aca="false">IF(N(G103)&lt;=0.005,0,N(G103)*(1+N('Min gæld'!$D$5)/12))</f>
        <v>0</v>
      </c>
      <c r="F104" s="27" t="n">
        <f aca="false">IF(E104&lt;=0,0,MIN(E104,N('Min gæld'!$E$5)+D104))</f>
        <v>0</v>
      </c>
      <c r="G104" s="27" t="n">
        <f aca="false">IF(E104-F104&lt;0.005,0,E104-F104)</f>
        <v>0</v>
      </c>
      <c r="H104" s="27" t="n">
        <f aca="false">MAX(0,IF(N(G103)&lt;=0.005,D104,D104+N('Min gæld'!$E$5)-F104))</f>
        <v>4800</v>
      </c>
      <c r="I104" s="27" t="n">
        <f aca="false">IF(N(K103)&lt;=0.005,0,N(K103)*(1+N('Min gæld'!$D$6)/12))</f>
        <v>0</v>
      </c>
      <c r="J104" s="27" t="n">
        <f aca="false">IF(I104&lt;=0,0,MIN(I104,N('Min gæld'!$E$6)+H104))</f>
        <v>0</v>
      </c>
      <c r="K104" s="27" t="n">
        <f aca="false">IF(I104-J104&lt;0.005,0,I104-J104)</f>
        <v>0</v>
      </c>
      <c r="L104" s="27" t="n">
        <f aca="false">MAX(0,IF(N(K103)&lt;=0.005,H104,H104+N('Min gæld'!$E$6)-J104))</f>
        <v>4800</v>
      </c>
      <c r="M104" s="27" t="n">
        <f aca="false">IF(N(O103)&lt;=0.005,0,N(O103)*(1+N('Min gæld'!$D$7)/12))</f>
        <v>0</v>
      </c>
      <c r="N104" s="27" t="n">
        <f aca="false">IF(M104&lt;=0,0,MIN(M104,N('Min gæld'!$E$7)+L104))</f>
        <v>0</v>
      </c>
      <c r="O104" s="27" t="n">
        <f aca="false">IF(M104-N104&lt;0.005,0,M104-N104)</f>
        <v>0</v>
      </c>
      <c r="P104" s="27" t="n">
        <f aca="false">MAX(0,IF(N(O103)&lt;=0.005,L104,L104+N('Min gæld'!$E$7)-N104))</f>
        <v>4800</v>
      </c>
      <c r="Q104" s="27" t="n">
        <f aca="false">IF(N(S103)&lt;=0.005,0,N(S103)*(1+N('Min gæld'!$D$8)/12))</f>
        <v>0</v>
      </c>
      <c r="R104" s="27" t="n">
        <f aca="false">IF(Q104&lt;=0,0,MIN(Q104,N('Min gæld'!$E$8)+P104))</f>
        <v>0</v>
      </c>
      <c r="S104" s="27" t="n">
        <f aca="false">IF(Q104-R104&lt;0.005,0,Q104-R104)</f>
        <v>0</v>
      </c>
      <c r="T104" s="27" t="n">
        <f aca="false">MAX(0,IF(N(S103)&lt;=0.005,P104,P104+N('Min gæld'!$E$8)-R104))</f>
        <v>4800</v>
      </c>
      <c r="U104" s="27" t="n">
        <f aca="false">IF(N(W103)&lt;=0.005,0,N(W103)*(1+N('Min gæld'!$D$9)/12))</f>
        <v>0</v>
      </c>
      <c r="V104" s="27" t="n">
        <f aca="false">IF(U104&lt;=0,0,MIN(U104,N('Min gæld'!$E$9)+T104))</f>
        <v>0</v>
      </c>
      <c r="W104" s="27" t="n">
        <f aca="false">IF(U104-V104&lt;0.005,0,U104-V104)</f>
        <v>0</v>
      </c>
      <c r="X104" s="27" t="n">
        <f aca="false">MAX(0,IF(N(W103)&lt;=0.005,T104,T104+N('Min gæld'!$E$9)-V104))</f>
        <v>4800</v>
      </c>
      <c r="Y104" s="27" t="n">
        <f aca="false">IF(N(AA103)&lt;=0.005,0,N(AA103)*(1+N('Min gæld'!$D$10)/12))</f>
        <v>0</v>
      </c>
      <c r="Z104" s="27" t="n">
        <f aca="false">IF(Y104&lt;=0,0,MIN(Y104,N('Min gæld'!$E$10)+X104))</f>
        <v>0</v>
      </c>
      <c r="AA104" s="27" t="n">
        <f aca="false">IF(Y104-Z104&lt;0.005,0,Y104-Z104)</f>
        <v>0</v>
      </c>
      <c r="AB104" s="27" t="n">
        <f aca="false">MAX(0,IF(N(AA103)&lt;=0.005,X104,X104+N('Min gæld'!$E$10)-Z104))</f>
        <v>4800</v>
      </c>
      <c r="AC104" s="27" t="n">
        <f aca="false">IF(N(AE103)&lt;=0.005,0,N(AE103)*(1+N('Min gæld'!$D$11)/12))</f>
        <v>0</v>
      </c>
      <c r="AD104" s="27" t="n">
        <f aca="false">IF(AC104&lt;=0,0,MIN(AC104,N('Min gæld'!$E$11)+AB104))</f>
        <v>0</v>
      </c>
      <c r="AE104" s="27" t="n">
        <f aca="false">IF(AC104-AD104&lt;0.005,0,AC104-AD104)</f>
        <v>0</v>
      </c>
      <c r="AF104" s="27" t="n">
        <f aca="false">MAX(0,IF(N(AE103)&lt;=0.005,AB104,AB104+N('Min gæld'!$E$11)-AD104))</f>
        <v>4800</v>
      </c>
      <c r="AG104" s="27" t="n">
        <f aca="false">IF(N(AI103)&lt;=0.005,0,N(AI103)*(1+N('Min gæld'!$D$12)/12))</f>
        <v>0</v>
      </c>
      <c r="AH104" s="27" t="n">
        <f aca="false">IF(AG104&lt;=0,0,MIN(AG104,N('Min gæld'!$E$12)+AF104))</f>
        <v>0</v>
      </c>
      <c r="AI104" s="27" t="n">
        <f aca="false">IF(AG104-AH104&lt;0.005,0,AG104-AH104)</f>
        <v>0</v>
      </c>
      <c r="AJ104" s="27" t="n">
        <f aca="false">G104+K104+O104+S104+W104+AA104+AE104+AI104</f>
        <v>0</v>
      </c>
      <c r="AK104" s="28" t="n">
        <f aca="false">IF(E104&gt;0,E104-N(G103),0)+IF(I104&gt;0,I104-N(K103),0)+IF(M104&gt;0,M104-N(O103),0)+IF(Q104&gt;0,Q104-N(S103),0)+IF(U104&gt;0,U104-N(W103),0)+IF(Y104&gt;0,Y104-N(AA103),0)+IF(AC104&gt;0,AC104-N(AE103),0)+IF(AG104&gt;0,AG104-N(AI103),0)</f>
        <v>0</v>
      </c>
    </row>
    <row r="105" customFormat="false" ht="15" hidden="false" customHeight="false" outlineLevel="0" collapsed="false">
      <c r="A105" s="25" t="n">
        <v>100</v>
      </c>
      <c r="B105" s="26" t="n">
        <f aca="false">EDATE('Min gæld'!$C$16,99)</f>
        <v>49400</v>
      </c>
      <c r="C105" s="27" t="n">
        <f aca="false">N('Min gæld'!$C$15)+IF(N(G104)&lt;=0.005,N('Min gæld'!$E$5),0)+IF(N(K104)&lt;=0.005,N('Min gæld'!$E$6),0)+IF(N(O104)&lt;=0.005,N('Min gæld'!$E$7),0)+IF(N(S104)&lt;=0.005,N('Min gæld'!$E$8),0)+IF(N(W104)&lt;=0.005,N('Min gæld'!$E$9),0)+IF(N(AA104)&lt;=0.005,N('Min gæld'!$E$10),0)+IF(N(AE104)&lt;=0.005,N('Min gæld'!$E$11),0)+IF(N(AI104)&lt;=0.005,N('Min gæld'!$E$12),0)</f>
        <v>4800</v>
      </c>
      <c r="D105" s="27" t="n">
        <f aca="false">MAX(0,C105)</f>
        <v>4800</v>
      </c>
      <c r="E105" s="27" t="n">
        <f aca="false">IF(N(G104)&lt;=0.005,0,N(G104)*(1+N('Min gæld'!$D$5)/12))</f>
        <v>0</v>
      </c>
      <c r="F105" s="27" t="n">
        <f aca="false">IF(E105&lt;=0,0,MIN(E105,N('Min gæld'!$E$5)+D105))</f>
        <v>0</v>
      </c>
      <c r="G105" s="27" t="n">
        <f aca="false">IF(E105-F105&lt;0.005,0,E105-F105)</f>
        <v>0</v>
      </c>
      <c r="H105" s="27" t="n">
        <f aca="false">MAX(0,IF(N(G104)&lt;=0.005,D105,D105+N('Min gæld'!$E$5)-F105))</f>
        <v>4800</v>
      </c>
      <c r="I105" s="27" t="n">
        <f aca="false">IF(N(K104)&lt;=0.005,0,N(K104)*(1+N('Min gæld'!$D$6)/12))</f>
        <v>0</v>
      </c>
      <c r="J105" s="27" t="n">
        <f aca="false">IF(I105&lt;=0,0,MIN(I105,N('Min gæld'!$E$6)+H105))</f>
        <v>0</v>
      </c>
      <c r="K105" s="27" t="n">
        <f aca="false">IF(I105-J105&lt;0.005,0,I105-J105)</f>
        <v>0</v>
      </c>
      <c r="L105" s="27" t="n">
        <f aca="false">MAX(0,IF(N(K104)&lt;=0.005,H105,H105+N('Min gæld'!$E$6)-J105))</f>
        <v>4800</v>
      </c>
      <c r="M105" s="27" t="n">
        <f aca="false">IF(N(O104)&lt;=0.005,0,N(O104)*(1+N('Min gæld'!$D$7)/12))</f>
        <v>0</v>
      </c>
      <c r="N105" s="27" t="n">
        <f aca="false">IF(M105&lt;=0,0,MIN(M105,N('Min gæld'!$E$7)+L105))</f>
        <v>0</v>
      </c>
      <c r="O105" s="27" t="n">
        <f aca="false">IF(M105-N105&lt;0.005,0,M105-N105)</f>
        <v>0</v>
      </c>
      <c r="P105" s="27" t="n">
        <f aca="false">MAX(0,IF(N(O104)&lt;=0.005,L105,L105+N('Min gæld'!$E$7)-N105))</f>
        <v>4800</v>
      </c>
      <c r="Q105" s="27" t="n">
        <f aca="false">IF(N(S104)&lt;=0.005,0,N(S104)*(1+N('Min gæld'!$D$8)/12))</f>
        <v>0</v>
      </c>
      <c r="R105" s="27" t="n">
        <f aca="false">IF(Q105&lt;=0,0,MIN(Q105,N('Min gæld'!$E$8)+P105))</f>
        <v>0</v>
      </c>
      <c r="S105" s="27" t="n">
        <f aca="false">IF(Q105-R105&lt;0.005,0,Q105-R105)</f>
        <v>0</v>
      </c>
      <c r="T105" s="27" t="n">
        <f aca="false">MAX(0,IF(N(S104)&lt;=0.005,P105,P105+N('Min gæld'!$E$8)-R105))</f>
        <v>4800</v>
      </c>
      <c r="U105" s="27" t="n">
        <f aca="false">IF(N(W104)&lt;=0.005,0,N(W104)*(1+N('Min gæld'!$D$9)/12))</f>
        <v>0</v>
      </c>
      <c r="V105" s="27" t="n">
        <f aca="false">IF(U105&lt;=0,0,MIN(U105,N('Min gæld'!$E$9)+T105))</f>
        <v>0</v>
      </c>
      <c r="W105" s="27" t="n">
        <f aca="false">IF(U105-V105&lt;0.005,0,U105-V105)</f>
        <v>0</v>
      </c>
      <c r="X105" s="27" t="n">
        <f aca="false">MAX(0,IF(N(W104)&lt;=0.005,T105,T105+N('Min gæld'!$E$9)-V105))</f>
        <v>4800</v>
      </c>
      <c r="Y105" s="27" t="n">
        <f aca="false">IF(N(AA104)&lt;=0.005,0,N(AA104)*(1+N('Min gæld'!$D$10)/12))</f>
        <v>0</v>
      </c>
      <c r="Z105" s="27" t="n">
        <f aca="false">IF(Y105&lt;=0,0,MIN(Y105,N('Min gæld'!$E$10)+X105))</f>
        <v>0</v>
      </c>
      <c r="AA105" s="27" t="n">
        <f aca="false">IF(Y105-Z105&lt;0.005,0,Y105-Z105)</f>
        <v>0</v>
      </c>
      <c r="AB105" s="27" t="n">
        <f aca="false">MAX(0,IF(N(AA104)&lt;=0.005,X105,X105+N('Min gæld'!$E$10)-Z105))</f>
        <v>4800</v>
      </c>
      <c r="AC105" s="27" t="n">
        <f aca="false">IF(N(AE104)&lt;=0.005,0,N(AE104)*(1+N('Min gæld'!$D$11)/12))</f>
        <v>0</v>
      </c>
      <c r="AD105" s="27" t="n">
        <f aca="false">IF(AC105&lt;=0,0,MIN(AC105,N('Min gæld'!$E$11)+AB105))</f>
        <v>0</v>
      </c>
      <c r="AE105" s="27" t="n">
        <f aca="false">IF(AC105-AD105&lt;0.005,0,AC105-AD105)</f>
        <v>0</v>
      </c>
      <c r="AF105" s="27" t="n">
        <f aca="false">MAX(0,IF(N(AE104)&lt;=0.005,AB105,AB105+N('Min gæld'!$E$11)-AD105))</f>
        <v>4800</v>
      </c>
      <c r="AG105" s="27" t="n">
        <f aca="false">IF(N(AI104)&lt;=0.005,0,N(AI104)*(1+N('Min gæld'!$D$12)/12))</f>
        <v>0</v>
      </c>
      <c r="AH105" s="27" t="n">
        <f aca="false">IF(AG105&lt;=0,0,MIN(AG105,N('Min gæld'!$E$12)+AF105))</f>
        <v>0</v>
      </c>
      <c r="AI105" s="27" t="n">
        <f aca="false">IF(AG105-AH105&lt;0.005,0,AG105-AH105)</f>
        <v>0</v>
      </c>
      <c r="AJ105" s="27" t="n">
        <f aca="false">G105+K105+O105+S105+W105+AA105+AE105+AI105</f>
        <v>0</v>
      </c>
      <c r="AK105" s="28" t="n">
        <f aca="false">IF(E105&gt;0,E105-N(G104),0)+IF(I105&gt;0,I105-N(K104),0)+IF(M105&gt;0,M105-N(O104),0)+IF(Q105&gt;0,Q105-N(S104),0)+IF(U105&gt;0,U105-N(W104),0)+IF(Y105&gt;0,Y105-N(AA104),0)+IF(AC105&gt;0,AC105-N(AE104),0)+IF(AG105&gt;0,AG105-N(AI104),0)</f>
        <v>0</v>
      </c>
    </row>
    <row r="106" customFormat="false" ht="15" hidden="false" customHeight="false" outlineLevel="0" collapsed="false">
      <c r="A106" s="25" t="n">
        <v>101</v>
      </c>
      <c r="B106" s="26" t="n">
        <f aca="false">EDATE('Min gæld'!$C$16,100)</f>
        <v>49430</v>
      </c>
      <c r="C106" s="27" t="n">
        <f aca="false">N('Min gæld'!$C$15)+IF(N(G105)&lt;=0.005,N('Min gæld'!$E$5),0)+IF(N(K105)&lt;=0.005,N('Min gæld'!$E$6),0)+IF(N(O105)&lt;=0.005,N('Min gæld'!$E$7),0)+IF(N(S105)&lt;=0.005,N('Min gæld'!$E$8),0)+IF(N(W105)&lt;=0.005,N('Min gæld'!$E$9),0)+IF(N(AA105)&lt;=0.005,N('Min gæld'!$E$10),0)+IF(N(AE105)&lt;=0.005,N('Min gæld'!$E$11),0)+IF(N(AI105)&lt;=0.005,N('Min gæld'!$E$12),0)</f>
        <v>4800</v>
      </c>
      <c r="D106" s="27" t="n">
        <f aca="false">MAX(0,C106)</f>
        <v>4800</v>
      </c>
      <c r="E106" s="27" t="n">
        <f aca="false">IF(N(G105)&lt;=0.005,0,N(G105)*(1+N('Min gæld'!$D$5)/12))</f>
        <v>0</v>
      </c>
      <c r="F106" s="27" t="n">
        <f aca="false">IF(E106&lt;=0,0,MIN(E106,N('Min gæld'!$E$5)+D106))</f>
        <v>0</v>
      </c>
      <c r="G106" s="27" t="n">
        <f aca="false">IF(E106-F106&lt;0.005,0,E106-F106)</f>
        <v>0</v>
      </c>
      <c r="H106" s="27" t="n">
        <f aca="false">MAX(0,IF(N(G105)&lt;=0.005,D106,D106+N('Min gæld'!$E$5)-F106))</f>
        <v>4800</v>
      </c>
      <c r="I106" s="27" t="n">
        <f aca="false">IF(N(K105)&lt;=0.005,0,N(K105)*(1+N('Min gæld'!$D$6)/12))</f>
        <v>0</v>
      </c>
      <c r="J106" s="27" t="n">
        <f aca="false">IF(I106&lt;=0,0,MIN(I106,N('Min gæld'!$E$6)+H106))</f>
        <v>0</v>
      </c>
      <c r="K106" s="27" t="n">
        <f aca="false">IF(I106-J106&lt;0.005,0,I106-J106)</f>
        <v>0</v>
      </c>
      <c r="L106" s="27" t="n">
        <f aca="false">MAX(0,IF(N(K105)&lt;=0.005,H106,H106+N('Min gæld'!$E$6)-J106))</f>
        <v>4800</v>
      </c>
      <c r="M106" s="27" t="n">
        <f aca="false">IF(N(O105)&lt;=0.005,0,N(O105)*(1+N('Min gæld'!$D$7)/12))</f>
        <v>0</v>
      </c>
      <c r="N106" s="27" t="n">
        <f aca="false">IF(M106&lt;=0,0,MIN(M106,N('Min gæld'!$E$7)+L106))</f>
        <v>0</v>
      </c>
      <c r="O106" s="27" t="n">
        <f aca="false">IF(M106-N106&lt;0.005,0,M106-N106)</f>
        <v>0</v>
      </c>
      <c r="P106" s="27" t="n">
        <f aca="false">MAX(0,IF(N(O105)&lt;=0.005,L106,L106+N('Min gæld'!$E$7)-N106))</f>
        <v>4800</v>
      </c>
      <c r="Q106" s="27" t="n">
        <f aca="false">IF(N(S105)&lt;=0.005,0,N(S105)*(1+N('Min gæld'!$D$8)/12))</f>
        <v>0</v>
      </c>
      <c r="R106" s="27" t="n">
        <f aca="false">IF(Q106&lt;=0,0,MIN(Q106,N('Min gæld'!$E$8)+P106))</f>
        <v>0</v>
      </c>
      <c r="S106" s="27" t="n">
        <f aca="false">IF(Q106-R106&lt;0.005,0,Q106-R106)</f>
        <v>0</v>
      </c>
      <c r="T106" s="27" t="n">
        <f aca="false">MAX(0,IF(N(S105)&lt;=0.005,P106,P106+N('Min gæld'!$E$8)-R106))</f>
        <v>4800</v>
      </c>
      <c r="U106" s="27" t="n">
        <f aca="false">IF(N(W105)&lt;=0.005,0,N(W105)*(1+N('Min gæld'!$D$9)/12))</f>
        <v>0</v>
      </c>
      <c r="V106" s="27" t="n">
        <f aca="false">IF(U106&lt;=0,0,MIN(U106,N('Min gæld'!$E$9)+T106))</f>
        <v>0</v>
      </c>
      <c r="W106" s="27" t="n">
        <f aca="false">IF(U106-V106&lt;0.005,0,U106-V106)</f>
        <v>0</v>
      </c>
      <c r="X106" s="27" t="n">
        <f aca="false">MAX(0,IF(N(W105)&lt;=0.005,T106,T106+N('Min gæld'!$E$9)-V106))</f>
        <v>4800</v>
      </c>
      <c r="Y106" s="27" t="n">
        <f aca="false">IF(N(AA105)&lt;=0.005,0,N(AA105)*(1+N('Min gæld'!$D$10)/12))</f>
        <v>0</v>
      </c>
      <c r="Z106" s="27" t="n">
        <f aca="false">IF(Y106&lt;=0,0,MIN(Y106,N('Min gæld'!$E$10)+X106))</f>
        <v>0</v>
      </c>
      <c r="AA106" s="27" t="n">
        <f aca="false">IF(Y106-Z106&lt;0.005,0,Y106-Z106)</f>
        <v>0</v>
      </c>
      <c r="AB106" s="27" t="n">
        <f aca="false">MAX(0,IF(N(AA105)&lt;=0.005,X106,X106+N('Min gæld'!$E$10)-Z106))</f>
        <v>4800</v>
      </c>
      <c r="AC106" s="27" t="n">
        <f aca="false">IF(N(AE105)&lt;=0.005,0,N(AE105)*(1+N('Min gæld'!$D$11)/12))</f>
        <v>0</v>
      </c>
      <c r="AD106" s="27" t="n">
        <f aca="false">IF(AC106&lt;=0,0,MIN(AC106,N('Min gæld'!$E$11)+AB106))</f>
        <v>0</v>
      </c>
      <c r="AE106" s="27" t="n">
        <f aca="false">IF(AC106-AD106&lt;0.005,0,AC106-AD106)</f>
        <v>0</v>
      </c>
      <c r="AF106" s="27" t="n">
        <f aca="false">MAX(0,IF(N(AE105)&lt;=0.005,AB106,AB106+N('Min gæld'!$E$11)-AD106))</f>
        <v>4800</v>
      </c>
      <c r="AG106" s="27" t="n">
        <f aca="false">IF(N(AI105)&lt;=0.005,0,N(AI105)*(1+N('Min gæld'!$D$12)/12))</f>
        <v>0</v>
      </c>
      <c r="AH106" s="27" t="n">
        <f aca="false">IF(AG106&lt;=0,0,MIN(AG106,N('Min gæld'!$E$12)+AF106))</f>
        <v>0</v>
      </c>
      <c r="AI106" s="27" t="n">
        <f aca="false">IF(AG106-AH106&lt;0.005,0,AG106-AH106)</f>
        <v>0</v>
      </c>
      <c r="AJ106" s="27" t="n">
        <f aca="false">G106+K106+O106+S106+W106+AA106+AE106+AI106</f>
        <v>0</v>
      </c>
      <c r="AK106" s="28" t="n">
        <f aca="false">IF(E106&gt;0,E106-N(G105),0)+IF(I106&gt;0,I106-N(K105),0)+IF(M106&gt;0,M106-N(O105),0)+IF(Q106&gt;0,Q106-N(S105),0)+IF(U106&gt;0,U106-N(W105),0)+IF(Y106&gt;0,Y106-N(AA105),0)+IF(AC106&gt;0,AC106-N(AE105),0)+IF(AG106&gt;0,AG106-N(AI105),0)</f>
        <v>0</v>
      </c>
    </row>
    <row r="107" customFormat="false" ht="15" hidden="false" customHeight="false" outlineLevel="0" collapsed="false">
      <c r="A107" s="25" t="n">
        <v>102</v>
      </c>
      <c r="B107" s="26" t="n">
        <f aca="false">EDATE('Min gæld'!$C$16,101)</f>
        <v>49461</v>
      </c>
      <c r="C107" s="27" t="n">
        <f aca="false">N('Min gæld'!$C$15)+IF(N(G106)&lt;=0.005,N('Min gæld'!$E$5),0)+IF(N(K106)&lt;=0.005,N('Min gæld'!$E$6),0)+IF(N(O106)&lt;=0.005,N('Min gæld'!$E$7),0)+IF(N(S106)&lt;=0.005,N('Min gæld'!$E$8),0)+IF(N(W106)&lt;=0.005,N('Min gæld'!$E$9),0)+IF(N(AA106)&lt;=0.005,N('Min gæld'!$E$10),0)+IF(N(AE106)&lt;=0.005,N('Min gæld'!$E$11),0)+IF(N(AI106)&lt;=0.005,N('Min gæld'!$E$12),0)</f>
        <v>4800</v>
      </c>
      <c r="D107" s="27" t="n">
        <f aca="false">MAX(0,C107)</f>
        <v>4800</v>
      </c>
      <c r="E107" s="27" t="n">
        <f aca="false">IF(N(G106)&lt;=0.005,0,N(G106)*(1+N('Min gæld'!$D$5)/12))</f>
        <v>0</v>
      </c>
      <c r="F107" s="27" t="n">
        <f aca="false">IF(E107&lt;=0,0,MIN(E107,N('Min gæld'!$E$5)+D107))</f>
        <v>0</v>
      </c>
      <c r="G107" s="27" t="n">
        <f aca="false">IF(E107-F107&lt;0.005,0,E107-F107)</f>
        <v>0</v>
      </c>
      <c r="H107" s="27" t="n">
        <f aca="false">MAX(0,IF(N(G106)&lt;=0.005,D107,D107+N('Min gæld'!$E$5)-F107))</f>
        <v>4800</v>
      </c>
      <c r="I107" s="27" t="n">
        <f aca="false">IF(N(K106)&lt;=0.005,0,N(K106)*(1+N('Min gæld'!$D$6)/12))</f>
        <v>0</v>
      </c>
      <c r="J107" s="27" t="n">
        <f aca="false">IF(I107&lt;=0,0,MIN(I107,N('Min gæld'!$E$6)+H107))</f>
        <v>0</v>
      </c>
      <c r="K107" s="27" t="n">
        <f aca="false">IF(I107-J107&lt;0.005,0,I107-J107)</f>
        <v>0</v>
      </c>
      <c r="L107" s="27" t="n">
        <f aca="false">MAX(0,IF(N(K106)&lt;=0.005,H107,H107+N('Min gæld'!$E$6)-J107))</f>
        <v>4800</v>
      </c>
      <c r="M107" s="27" t="n">
        <f aca="false">IF(N(O106)&lt;=0.005,0,N(O106)*(1+N('Min gæld'!$D$7)/12))</f>
        <v>0</v>
      </c>
      <c r="N107" s="27" t="n">
        <f aca="false">IF(M107&lt;=0,0,MIN(M107,N('Min gæld'!$E$7)+L107))</f>
        <v>0</v>
      </c>
      <c r="O107" s="27" t="n">
        <f aca="false">IF(M107-N107&lt;0.005,0,M107-N107)</f>
        <v>0</v>
      </c>
      <c r="P107" s="27" t="n">
        <f aca="false">MAX(0,IF(N(O106)&lt;=0.005,L107,L107+N('Min gæld'!$E$7)-N107))</f>
        <v>4800</v>
      </c>
      <c r="Q107" s="27" t="n">
        <f aca="false">IF(N(S106)&lt;=0.005,0,N(S106)*(1+N('Min gæld'!$D$8)/12))</f>
        <v>0</v>
      </c>
      <c r="R107" s="27" t="n">
        <f aca="false">IF(Q107&lt;=0,0,MIN(Q107,N('Min gæld'!$E$8)+P107))</f>
        <v>0</v>
      </c>
      <c r="S107" s="27" t="n">
        <f aca="false">IF(Q107-R107&lt;0.005,0,Q107-R107)</f>
        <v>0</v>
      </c>
      <c r="T107" s="27" t="n">
        <f aca="false">MAX(0,IF(N(S106)&lt;=0.005,P107,P107+N('Min gæld'!$E$8)-R107))</f>
        <v>4800</v>
      </c>
      <c r="U107" s="27" t="n">
        <f aca="false">IF(N(W106)&lt;=0.005,0,N(W106)*(1+N('Min gæld'!$D$9)/12))</f>
        <v>0</v>
      </c>
      <c r="V107" s="27" t="n">
        <f aca="false">IF(U107&lt;=0,0,MIN(U107,N('Min gæld'!$E$9)+T107))</f>
        <v>0</v>
      </c>
      <c r="W107" s="27" t="n">
        <f aca="false">IF(U107-V107&lt;0.005,0,U107-V107)</f>
        <v>0</v>
      </c>
      <c r="X107" s="27" t="n">
        <f aca="false">MAX(0,IF(N(W106)&lt;=0.005,T107,T107+N('Min gæld'!$E$9)-V107))</f>
        <v>4800</v>
      </c>
      <c r="Y107" s="27" t="n">
        <f aca="false">IF(N(AA106)&lt;=0.005,0,N(AA106)*(1+N('Min gæld'!$D$10)/12))</f>
        <v>0</v>
      </c>
      <c r="Z107" s="27" t="n">
        <f aca="false">IF(Y107&lt;=0,0,MIN(Y107,N('Min gæld'!$E$10)+X107))</f>
        <v>0</v>
      </c>
      <c r="AA107" s="27" t="n">
        <f aca="false">IF(Y107-Z107&lt;0.005,0,Y107-Z107)</f>
        <v>0</v>
      </c>
      <c r="AB107" s="27" t="n">
        <f aca="false">MAX(0,IF(N(AA106)&lt;=0.005,X107,X107+N('Min gæld'!$E$10)-Z107))</f>
        <v>4800</v>
      </c>
      <c r="AC107" s="27" t="n">
        <f aca="false">IF(N(AE106)&lt;=0.005,0,N(AE106)*(1+N('Min gæld'!$D$11)/12))</f>
        <v>0</v>
      </c>
      <c r="AD107" s="27" t="n">
        <f aca="false">IF(AC107&lt;=0,0,MIN(AC107,N('Min gæld'!$E$11)+AB107))</f>
        <v>0</v>
      </c>
      <c r="AE107" s="27" t="n">
        <f aca="false">IF(AC107-AD107&lt;0.005,0,AC107-AD107)</f>
        <v>0</v>
      </c>
      <c r="AF107" s="27" t="n">
        <f aca="false">MAX(0,IF(N(AE106)&lt;=0.005,AB107,AB107+N('Min gæld'!$E$11)-AD107))</f>
        <v>4800</v>
      </c>
      <c r="AG107" s="27" t="n">
        <f aca="false">IF(N(AI106)&lt;=0.005,0,N(AI106)*(1+N('Min gæld'!$D$12)/12))</f>
        <v>0</v>
      </c>
      <c r="AH107" s="27" t="n">
        <f aca="false">IF(AG107&lt;=0,0,MIN(AG107,N('Min gæld'!$E$12)+AF107))</f>
        <v>0</v>
      </c>
      <c r="AI107" s="27" t="n">
        <f aca="false">IF(AG107-AH107&lt;0.005,0,AG107-AH107)</f>
        <v>0</v>
      </c>
      <c r="AJ107" s="27" t="n">
        <f aca="false">G107+K107+O107+S107+W107+AA107+AE107+AI107</f>
        <v>0</v>
      </c>
      <c r="AK107" s="28" t="n">
        <f aca="false">IF(E107&gt;0,E107-N(G106),0)+IF(I107&gt;0,I107-N(K106),0)+IF(M107&gt;0,M107-N(O106),0)+IF(Q107&gt;0,Q107-N(S106),0)+IF(U107&gt;0,U107-N(W106),0)+IF(Y107&gt;0,Y107-N(AA106),0)+IF(AC107&gt;0,AC107-N(AE106),0)+IF(AG107&gt;0,AG107-N(AI106),0)</f>
        <v>0</v>
      </c>
    </row>
    <row r="108" customFormat="false" ht="15" hidden="false" customHeight="false" outlineLevel="0" collapsed="false">
      <c r="A108" s="25" t="n">
        <v>103</v>
      </c>
      <c r="B108" s="26" t="n">
        <f aca="false">EDATE('Min gæld'!$C$16,102)</f>
        <v>49491</v>
      </c>
      <c r="C108" s="27" t="n">
        <f aca="false">N('Min gæld'!$C$15)+IF(N(G107)&lt;=0.005,N('Min gæld'!$E$5),0)+IF(N(K107)&lt;=0.005,N('Min gæld'!$E$6),0)+IF(N(O107)&lt;=0.005,N('Min gæld'!$E$7),0)+IF(N(S107)&lt;=0.005,N('Min gæld'!$E$8),0)+IF(N(W107)&lt;=0.005,N('Min gæld'!$E$9),0)+IF(N(AA107)&lt;=0.005,N('Min gæld'!$E$10),0)+IF(N(AE107)&lt;=0.005,N('Min gæld'!$E$11),0)+IF(N(AI107)&lt;=0.005,N('Min gæld'!$E$12),0)</f>
        <v>4800</v>
      </c>
      <c r="D108" s="27" t="n">
        <f aca="false">MAX(0,C108)</f>
        <v>4800</v>
      </c>
      <c r="E108" s="27" t="n">
        <f aca="false">IF(N(G107)&lt;=0.005,0,N(G107)*(1+N('Min gæld'!$D$5)/12))</f>
        <v>0</v>
      </c>
      <c r="F108" s="27" t="n">
        <f aca="false">IF(E108&lt;=0,0,MIN(E108,N('Min gæld'!$E$5)+D108))</f>
        <v>0</v>
      </c>
      <c r="G108" s="27" t="n">
        <f aca="false">IF(E108-F108&lt;0.005,0,E108-F108)</f>
        <v>0</v>
      </c>
      <c r="H108" s="27" t="n">
        <f aca="false">MAX(0,IF(N(G107)&lt;=0.005,D108,D108+N('Min gæld'!$E$5)-F108))</f>
        <v>4800</v>
      </c>
      <c r="I108" s="27" t="n">
        <f aca="false">IF(N(K107)&lt;=0.005,0,N(K107)*(1+N('Min gæld'!$D$6)/12))</f>
        <v>0</v>
      </c>
      <c r="J108" s="27" t="n">
        <f aca="false">IF(I108&lt;=0,0,MIN(I108,N('Min gæld'!$E$6)+H108))</f>
        <v>0</v>
      </c>
      <c r="K108" s="27" t="n">
        <f aca="false">IF(I108-J108&lt;0.005,0,I108-J108)</f>
        <v>0</v>
      </c>
      <c r="L108" s="27" t="n">
        <f aca="false">MAX(0,IF(N(K107)&lt;=0.005,H108,H108+N('Min gæld'!$E$6)-J108))</f>
        <v>4800</v>
      </c>
      <c r="M108" s="27" t="n">
        <f aca="false">IF(N(O107)&lt;=0.005,0,N(O107)*(1+N('Min gæld'!$D$7)/12))</f>
        <v>0</v>
      </c>
      <c r="N108" s="27" t="n">
        <f aca="false">IF(M108&lt;=0,0,MIN(M108,N('Min gæld'!$E$7)+L108))</f>
        <v>0</v>
      </c>
      <c r="O108" s="27" t="n">
        <f aca="false">IF(M108-N108&lt;0.005,0,M108-N108)</f>
        <v>0</v>
      </c>
      <c r="P108" s="27" t="n">
        <f aca="false">MAX(0,IF(N(O107)&lt;=0.005,L108,L108+N('Min gæld'!$E$7)-N108))</f>
        <v>4800</v>
      </c>
      <c r="Q108" s="27" t="n">
        <f aca="false">IF(N(S107)&lt;=0.005,0,N(S107)*(1+N('Min gæld'!$D$8)/12))</f>
        <v>0</v>
      </c>
      <c r="R108" s="27" t="n">
        <f aca="false">IF(Q108&lt;=0,0,MIN(Q108,N('Min gæld'!$E$8)+P108))</f>
        <v>0</v>
      </c>
      <c r="S108" s="27" t="n">
        <f aca="false">IF(Q108-R108&lt;0.005,0,Q108-R108)</f>
        <v>0</v>
      </c>
      <c r="T108" s="27" t="n">
        <f aca="false">MAX(0,IF(N(S107)&lt;=0.005,P108,P108+N('Min gæld'!$E$8)-R108))</f>
        <v>4800</v>
      </c>
      <c r="U108" s="27" t="n">
        <f aca="false">IF(N(W107)&lt;=0.005,0,N(W107)*(1+N('Min gæld'!$D$9)/12))</f>
        <v>0</v>
      </c>
      <c r="V108" s="27" t="n">
        <f aca="false">IF(U108&lt;=0,0,MIN(U108,N('Min gæld'!$E$9)+T108))</f>
        <v>0</v>
      </c>
      <c r="W108" s="27" t="n">
        <f aca="false">IF(U108-V108&lt;0.005,0,U108-V108)</f>
        <v>0</v>
      </c>
      <c r="X108" s="27" t="n">
        <f aca="false">MAX(0,IF(N(W107)&lt;=0.005,T108,T108+N('Min gæld'!$E$9)-V108))</f>
        <v>4800</v>
      </c>
      <c r="Y108" s="27" t="n">
        <f aca="false">IF(N(AA107)&lt;=0.005,0,N(AA107)*(1+N('Min gæld'!$D$10)/12))</f>
        <v>0</v>
      </c>
      <c r="Z108" s="27" t="n">
        <f aca="false">IF(Y108&lt;=0,0,MIN(Y108,N('Min gæld'!$E$10)+X108))</f>
        <v>0</v>
      </c>
      <c r="AA108" s="27" t="n">
        <f aca="false">IF(Y108-Z108&lt;0.005,0,Y108-Z108)</f>
        <v>0</v>
      </c>
      <c r="AB108" s="27" t="n">
        <f aca="false">MAX(0,IF(N(AA107)&lt;=0.005,X108,X108+N('Min gæld'!$E$10)-Z108))</f>
        <v>4800</v>
      </c>
      <c r="AC108" s="27" t="n">
        <f aca="false">IF(N(AE107)&lt;=0.005,0,N(AE107)*(1+N('Min gæld'!$D$11)/12))</f>
        <v>0</v>
      </c>
      <c r="AD108" s="27" t="n">
        <f aca="false">IF(AC108&lt;=0,0,MIN(AC108,N('Min gæld'!$E$11)+AB108))</f>
        <v>0</v>
      </c>
      <c r="AE108" s="27" t="n">
        <f aca="false">IF(AC108-AD108&lt;0.005,0,AC108-AD108)</f>
        <v>0</v>
      </c>
      <c r="AF108" s="27" t="n">
        <f aca="false">MAX(0,IF(N(AE107)&lt;=0.005,AB108,AB108+N('Min gæld'!$E$11)-AD108))</f>
        <v>4800</v>
      </c>
      <c r="AG108" s="27" t="n">
        <f aca="false">IF(N(AI107)&lt;=0.005,0,N(AI107)*(1+N('Min gæld'!$D$12)/12))</f>
        <v>0</v>
      </c>
      <c r="AH108" s="27" t="n">
        <f aca="false">IF(AG108&lt;=0,0,MIN(AG108,N('Min gæld'!$E$12)+AF108))</f>
        <v>0</v>
      </c>
      <c r="AI108" s="27" t="n">
        <f aca="false">IF(AG108-AH108&lt;0.005,0,AG108-AH108)</f>
        <v>0</v>
      </c>
      <c r="AJ108" s="27" t="n">
        <f aca="false">G108+K108+O108+S108+W108+AA108+AE108+AI108</f>
        <v>0</v>
      </c>
      <c r="AK108" s="28" t="n">
        <f aca="false">IF(E108&gt;0,E108-N(G107),0)+IF(I108&gt;0,I108-N(K107),0)+IF(M108&gt;0,M108-N(O107),0)+IF(Q108&gt;0,Q108-N(S107),0)+IF(U108&gt;0,U108-N(W107),0)+IF(Y108&gt;0,Y108-N(AA107),0)+IF(AC108&gt;0,AC108-N(AE107),0)+IF(AG108&gt;0,AG108-N(AI107),0)</f>
        <v>0</v>
      </c>
    </row>
    <row r="109" customFormat="false" ht="15" hidden="false" customHeight="false" outlineLevel="0" collapsed="false">
      <c r="A109" s="25" t="n">
        <v>104</v>
      </c>
      <c r="B109" s="26" t="n">
        <f aca="false">EDATE('Min gæld'!$C$16,103)</f>
        <v>49522</v>
      </c>
      <c r="C109" s="27" t="n">
        <f aca="false">N('Min gæld'!$C$15)+IF(N(G108)&lt;=0.005,N('Min gæld'!$E$5),0)+IF(N(K108)&lt;=0.005,N('Min gæld'!$E$6),0)+IF(N(O108)&lt;=0.005,N('Min gæld'!$E$7),0)+IF(N(S108)&lt;=0.005,N('Min gæld'!$E$8),0)+IF(N(W108)&lt;=0.005,N('Min gæld'!$E$9),0)+IF(N(AA108)&lt;=0.005,N('Min gæld'!$E$10),0)+IF(N(AE108)&lt;=0.005,N('Min gæld'!$E$11),0)+IF(N(AI108)&lt;=0.005,N('Min gæld'!$E$12),0)</f>
        <v>4800</v>
      </c>
      <c r="D109" s="27" t="n">
        <f aca="false">MAX(0,C109)</f>
        <v>4800</v>
      </c>
      <c r="E109" s="27" t="n">
        <f aca="false">IF(N(G108)&lt;=0.005,0,N(G108)*(1+N('Min gæld'!$D$5)/12))</f>
        <v>0</v>
      </c>
      <c r="F109" s="27" t="n">
        <f aca="false">IF(E109&lt;=0,0,MIN(E109,N('Min gæld'!$E$5)+D109))</f>
        <v>0</v>
      </c>
      <c r="G109" s="27" t="n">
        <f aca="false">IF(E109-F109&lt;0.005,0,E109-F109)</f>
        <v>0</v>
      </c>
      <c r="H109" s="27" t="n">
        <f aca="false">MAX(0,IF(N(G108)&lt;=0.005,D109,D109+N('Min gæld'!$E$5)-F109))</f>
        <v>4800</v>
      </c>
      <c r="I109" s="27" t="n">
        <f aca="false">IF(N(K108)&lt;=0.005,0,N(K108)*(1+N('Min gæld'!$D$6)/12))</f>
        <v>0</v>
      </c>
      <c r="J109" s="27" t="n">
        <f aca="false">IF(I109&lt;=0,0,MIN(I109,N('Min gæld'!$E$6)+H109))</f>
        <v>0</v>
      </c>
      <c r="K109" s="27" t="n">
        <f aca="false">IF(I109-J109&lt;0.005,0,I109-J109)</f>
        <v>0</v>
      </c>
      <c r="L109" s="27" t="n">
        <f aca="false">MAX(0,IF(N(K108)&lt;=0.005,H109,H109+N('Min gæld'!$E$6)-J109))</f>
        <v>4800</v>
      </c>
      <c r="M109" s="27" t="n">
        <f aca="false">IF(N(O108)&lt;=0.005,0,N(O108)*(1+N('Min gæld'!$D$7)/12))</f>
        <v>0</v>
      </c>
      <c r="N109" s="27" t="n">
        <f aca="false">IF(M109&lt;=0,0,MIN(M109,N('Min gæld'!$E$7)+L109))</f>
        <v>0</v>
      </c>
      <c r="O109" s="27" t="n">
        <f aca="false">IF(M109-N109&lt;0.005,0,M109-N109)</f>
        <v>0</v>
      </c>
      <c r="P109" s="27" t="n">
        <f aca="false">MAX(0,IF(N(O108)&lt;=0.005,L109,L109+N('Min gæld'!$E$7)-N109))</f>
        <v>4800</v>
      </c>
      <c r="Q109" s="27" t="n">
        <f aca="false">IF(N(S108)&lt;=0.005,0,N(S108)*(1+N('Min gæld'!$D$8)/12))</f>
        <v>0</v>
      </c>
      <c r="R109" s="27" t="n">
        <f aca="false">IF(Q109&lt;=0,0,MIN(Q109,N('Min gæld'!$E$8)+P109))</f>
        <v>0</v>
      </c>
      <c r="S109" s="27" t="n">
        <f aca="false">IF(Q109-R109&lt;0.005,0,Q109-R109)</f>
        <v>0</v>
      </c>
      <c r="T109" s="27" t="n">
        <f aca="false">MAX(0,IF(N(S108)&lt;=0.005,P109,P109+N('Min gæld'!$E$8)-R109))</f>
        <v>4800</v>
      </c>
      <c r="U109" s="27" t="n">
        <f aca="false">IF(N(W108)&lt;=0.005,0,N(W108)*(1+N('Min gæld'!$D$9)/12))</f>
        <v>0</v>
      </c>
      <c r="V109" s="27" t="n">
        <f aca="false">IF(U109&lt;=0,0,MIN(U109,N('Min gæld'!$E$9)+T109))</f>
        <v>0</v>
      </c>
      <c r="W109" s="27" t="n">
        <f aca="false">IF(U109-V109&lt;0.005,0,U109-V109)</f>
        <v>0</v>
      </c>
      <c r="X109" s="27" t="n">
        <f aca="false">MAX(0,IF(N(W108)&lt;=0.005,T109,T109+N('Min gæld'!$E$9)-V109))</f>
        <v>4800</v>
      </c>
      <c r="Y109" s="27" t="n">
        <f aca="false">IF(N(AA108)&lt;=0.005,0,N(AA108)*(1+N('Min gæld'!$D$10)/12))</f>
        <v>0</v>
      </c>
      <c r="Z109" s="27" t="n">
        <f aca="false">IF(Y109&lt;=0,0,MIN(Y109,N('Min gæld'!$E$10)+X109))</f>
        <v>0</v>
      </c>
      <c r="AA109" s="27" t="n">
        <f aca="false">IF(Y109-Z109&lt;0.005,0,Y109-Z109)</f>
        <v>0</v>
      </c>
      <c r="AB109" s="27" t="n">
        <f aca="false">MAX(0,IF(N(AA108)&lt;=0.005,X109,X109+N('Min gæld'!$E$10)-Z109))</f>
        <v>4800</v>
      </c>
      <c r="AC109" s="27" t="n">
        <f aca="false">IF(N(AE108)&lt;=0.005,0,N(AE108)*(1+N('Min gæld'!$D$11)/12))</f>
        <v>0</v>
      </c>
      <c r="AD109" s="27" t="n">
        <f aca="false">IF(AC109&lt;=0,0,MIN(AC109,N('Min gæld'!$E$11)+AB109))</f>
        <v>0</v>
      </c>
      <c r="AE109" s="27" t="n">
        <f aca="false">IF(AC109-AD109&lt;0.005,0,AC109-AD109)</f>
        <v>0</v>
      </c>
      <c r="AF109" s="27" t="n">
        <f aca="false">MAX(0,IF(N(AE108)&lt;=0.005,AB109,AB109+N('Min gæld'!$E$11)-AD109))</f>
        <v>4800</v>
      </c>
      <c r="AG109" s="27" t="n">
        <f aca="false">IF(N(AI108)&lt;=0.005,0,N(AI108)*(1+N('Min gæld'!$D$12)/12))</f>
        <v>0</v>
      </c>
      <c r="AH109" s="27" t="n">
        <f aca="false">IF(AG109&lt;=0,0,MIN(AG109,N('Min gæld'!$E$12)+AF109))</f>
        <v>0</v>
      </c>
      <c r="AI109" s="27" t="n">
        <f aca="false">IF(AG109-AH109&lt;0.005,0,AG109-AH109)</f>
        <v>0</v>
      </c>
      <c r="AJ109" s="27" t="n">
        <f aca="false">G109+K109+O109+S109+W109+AA109+AE109+AI109</f>
        <v>0</v>
      </c>
      <c r="AK109" s="28" t="n">
        <f aca="false">IF(E109&gt;0,E109-N(G108),0)+IF(I109&gt;0,I109-N(K108),0)+IF(M109&gt;0,M109-N(O108),0)+IF(Q109&gt;0,Q109-N(S108),0)+IF(U109&gt;0,U109-N(W108),0)+IF(Y109&gt;0,Y109-N(AA108),0)+IF(AC109&gt;0,AC109-N(AE108),0)+IF(AG109&gt;0,AG109-N(AI108),0)</f>
        <v>0</v>
      </c>
    </row>
    <row r="110" customFormat="false" ht="15" hidden="false" customHeight="false" outlineLevel="0" collapsed="false">
      <c r="A110" s="25" t="n">
        <v>105</v>
      </c>
      <c r="B110" s="26" t="n">
        <f aca="false">EDATE('Min gæld'!$C$16,104)</f>
        <v>49553</v>
      </c>
      <c r="C110" s="27" t="n">
        <f aca="false">N('Min gæld'!$C$15)+IF(N(G109)&lt;=0.005,N('Min gæld'!$E$5),0)+IF(N(K109)&lt;=0.005,N('Min gæld'!$E$6),0)+IF(N(O109)&lt;=0.005,N('Min gæld'!$E$7),0)+IF(N(S109)&lt;=0.005,N('Min gæld'!$E$8),0)+IF(N(W109)&lt;=0.005,N('Min gæld'!$E$9),0)+IF(N(AA109)&lt;=0.005,N('Min gæld'!$E$10),0)+IF(N(AE109)&lt;=0.005,N('Min gæld'!$E$11),0)+IF(N(AI109)&lt;=0.005,N('Min gæld'!$E$12),0)</f>
        <v>4800</v>
      </c>
      <c r="D110" s="27" t="n">
        <f aca="false">MAX(0,C110)</f>
        <v>4800</v>
      </c>
      <c r="E110" s="27" t="n">
        <f aca="false">IF(N(G109)&lt;=0.005,0,N(G109)*(1+N('Min gæld'!$D$5)/12))</f>
        <v>0</v>
      </c>
      <c r="F110" s="27" t="n">
        <f aca="false">IF(E110&lt;=0,0,MIN(E110,N('Min gæld'!$E$5)+D110))</f>
        <v>0</v>
      </c>
      <c r="G110" s="27" t="n">
        <f aca="false">IF(E110-F110&lt;0.005,0,E110-F110)</f>
        <v>0</v>
      </c>
      <c r="H110" s="27" t="n">
        <f aca="false">MAX(0,IF(N(G109)&lt;=0.005,D110,D110+N('Min gæld'!$E$5)-F110))</f>
        <v>4800</v>
      </c>
      <c r="I110" s="27" t="n">
        <f aca="false">IF(N(K109)&lt;=0.005,0,N(K109)*(1+N('Min gæld'!$D$6)/12))</f>
        <v>0</v>
      </c>
      <c r="J110" s="27" t="n">
        <f aca="false">IF(I110&lt;=0,0,MIN(I110,N('Min gæld'!$E$6)+H110))</f>
        <v>0</v>
      </c>
      <c r="K110" s="27" t="n">
        <f aca="false">IF(I110-J110&lt;0.005,0,I110-J110)</f>
        <v>0</v>
      </c>
      <c r="L110" s="27" t="n">
        <f aca="false">MAX(0,IF(N(K109)&lt;=0.005,H110,H110+N('Min gæld'!$E$6)-J110))</f>
        <v>4800</v>
      </c>
      <c r="M110" s="27" t="n">
        <f aca="false">IF(N(O109)&lt;=0.005,0,N(O109)*(1+N('Min gæld'!$D$7)/12))</f>
        <v>0</v>
      </c>
      <c r="N110" s="27" t="n">
        <f aca="false">IF(M110&lt;=0,0,MIN(M110,N('Min gæld'!$E$7)+L110))</f>
        <v>0</v>
      </c>
      <c r="O110" s="27" t="n">
        <f aca="false">IF(M110-N110&lt;0.005,0,M110-N110)</f>
        <v>0</v>
      </c>
      <c r="P110" s="27" t="n">
        <f aca="false">MAX(0,IF(N(O109)&lt;=0.005,L110,L110+N('Min gæld'!$E$7)-N110))</f>
        <v>4800</v>
      </c>
      <c r="Q110" s="27" t="n">
        <f aca="false">IF(N(S109)&lt;=0.005,0,N(S109)*(1+N('Min gæld'!$D$8)/12))</f>
        <v>0</v>
      </c>
      <c r="R110" s="27" t="n">
        <f aca="false">IF(Q110&lt;=0,0,MIN(Q110,N('Min gæld'!$E$8)+P110))</f>
        <v>0</v>
      </c>
      <c r="S110" s="27" t="n">
        <f aca="false">IF(Q110-R110&lt;0.005,0,Q110-R110)</f>
        <v>0</v>
      </c>
      <c r="T110" s="27" t="n">
        <f aca="false">MAX(0,IF(N(S109)&lt;=0.005,P110,P110+N('Min gæld'!$E$8)-R110))</f>
        <v>4800</v>
      </c>
      <c r="U110" s="27" t="n">
        <f aca="false">IF(N(W109)&lt;=0.005,0,N(W109)*(1+N('Min gæld'!$D$9)/12))</f>
        <v>0</v>
      </c>
      <c r="V110" s="27" t="n">
        <f aca="false">IF(U110&lt;=0,0,MIN(U110,N('Min gæld'!$E$9)+T110))</f>
        <v>0</v>
      </c>
      <c r="W110" s="27" t="n">
        <f aca="false">IF(U110-V110&lt;0.005,0,U110-V110)</f>
        <v>0</v>
      </c>
      <c r="X110" s="27" t="n">
        <f aca="false">MAX(0,IF(N(W109)&lt;=0.005,T110,T110+N('Min gæld'!$E$9)-V110))</f>
        <v>4800</v>
      </c>
      <c r="Y110" s="27" t="n">
        <f aca="false">IF(N(AA109)&lt;=0.005,0,N(AA109)*(1+N('Min gæld'!$D$10)/12))</f>
        <v>0</v>
      </c>
      <c r="Z110" s="27" t="n">
        <f aca="false">IF(Y110&lt;=0,0,MIN(Y110,N('Min gæld'!$E$10)+X110))</f>
        <v>0</v>
      </c>
      <c r="AA110" s="27" t="n">
        <f aca="false">IF(Y110-Z110&lt;0.005,0,Y110-Z110)</f>
        <v>0</v>
      </c>
      <c r="AB110" s="27" t="n">
        <f aca="false">MAX(0,IF(N(AA109)&lt;=0.005,X110,X110+N('Min gæld'!$E$10)-Z110))</f>
        <v>4800</v>
      </c>
      <c r="AC110" s="27" t="n">
        <f aca="false">IF(N(AE109)&lt;=0.005,0,N(AE109)*(1+N('Min gæld'!$D$11)/12))</f>
        <v>0</v>
      </c>
      <c r="AD110" s="27" t="n">
        <f aca="false">IF(AC110&lt;=0,0,MIN(AC110,N('Min gæld'!$E$11)+AB110))</f>
        <v>0</v>
      </c>
      <c r="AE110" s="27" t="n">
        <f aca="false">IF(AC110-AD110&lt;0.005,0,AC110-AD110)</f>
        <v>0</v>
      </c>
      <c r="AF110" s="27" t="n">
        <f aca="false">MAX(0,IF(N(AE109)&lt;=0.005,AB110,AB110+N('Min gæld'!$E$11)-AD110))</f>
        <v>4800</v>
      </c>
      <c r="AG110" s="27" t="n">
        <f aca="false">IF(N(AI109)&lt;=0.005,0,N(AI109)*(1+N('Min gæld'!$D$12)/12))</f>
        <v>0</v>
      </c>
      <c r="AH110" s="27" t="n">
        <f aca="false">IF(AG110&lt;=0,0,MIN(AG110,N('Min gæld'!$E$12)+AF110))</f>
        <v>0</v>
      </c>
      <c r="AI110" s="27" t="n">
        <f aca="false">IF(AG110-AH110&lt;0.005,0,AG110-AH110)</f>
        <v>0</v>
      </c>
      <c r="AJ110" s="27" t="n">
        <f aca="false">G110+K110+O110+S110+W110+AA110+AE110+AI110</f>
        <v>0</v>
      </c>
      <c r="AK110" s="28" t="n">
        <f aca="false">IF(E110&gt;0,E110-N(G109),0)+IF(I110&gt;0,I110-N(K109),0)+IF(M110&gt;0,M110-N(O109),0)+IF(Q110&gt;0,Q110-N(S109),0)+IF(U110&gt;0,U110-N(W109),0)+IF(Y110&gt;0,Y110-N(AA109),0)+IF(AC110&gt;0,AC110-N(AE109),0)+IF(AG110&gt;0,AG110-N(AI109),0)</f>
        <v>0</v>
      </c>
    </row>
    <row r="111" customFormat="false" ht="15" hidden="false" customHeight="false" outlineLevel="0" collapsed="false">
      <c r="A111" s="25" t="n">
        <v>106</v>
      </c>
      <c r="B111" s="26" t="n">
        <f aca="false">EDATE('Min gæld'!$C$16,105)</f>
        <v>49583</v>
      </c>
      <c r="C111" s="27" t="n">
        <f aca="false">N('Min gæld'!$C$15)+IF(N(G110)&lt;=0.005,N('Min gæld'!$E$5),0)+IF(N(K110)&lt;=0.005,N('Min gæld'!$E$6),0)+IF(N(O110)&lt;=0.005,N('Min gæld'!$E$7),0)+IF(N(S110)&lt;=0.005,N('Min gæld'!$E$8),0)+IF(N(W110)&lt;=0.005,N('Min gæld'!$E$9),0)+IF(N(AA110)&lt;=0.005,N('Min gæld'!$E$10),0)+IF(N(AE110)&lt;=0.005,N('Min gæld'!$E$11),0)+IF(N(AI110)&lt;=0.005,N('Min gæld'!$E$12),0)</f>
        <v>4800</v>
      </c>
      <c r="D111" s="27" t="n">
        <f aca="false">MAX(0,C111)</f>
        <v>4800</v>
      </c>
      <c r="E111" s="27" t="n">
        <f aca="false">IF(N(G110)&lt;=0.005,0,N(G110)*(1+N('Min gæld'!$D$5)/12))</f>
        <v>0</v>
      </c>
      <c r="F111" s="27" t="n">
        <f aca="false">IF(E111&lt;=0,0,MIN(E111,N('Min gæld'!$E$5)+D111))</f>
        <v>0</v>
      </c>
      <c r="G111" s="27" t="n">
        <f aca="false">IF(E111-F111&lt;0.005,0,E111-F111)</f>
        <v>0</v>
      </c>
      <c r="H111" s="27" t="n">
        <f aca="false">MAX(0,IF(N(G110)&lt;=0.005,D111,D111+N('Min gæld'!$E$5)-F111))</f>
        <v>4800</v>
      </c>
      <c r="I111" s="27" t="n">
        <f aca="false">IF(N(K110)&lt;=0.005,0,N(K110)*(1+N('Min gæld'!$D$6)/12))</f>
        <v>0</v>
      </c>
      <c r="J111" s="27" t="n">
        <f aca="false">IF(I111&lt;=0,0,MIN(I111,N('Min gæld'!$E$6)+H111))</f>
        <v>0</v>
      </c>
      <c r="K111" s="27" t="n">
        <f aca="false">IF(I111-J111&lt;0.005,0,I111-J111)</f>
        <v>0</v>
      </c>
      <c r="L111" s="27" t="n">
        <f aca="false">MAX(0,IF(N(K110)&lt;=0.005,H111,H111+N('Min gæld'!$E$6)-J111))</f>
        <v>4800</v>
      </c>
      <c r="M111" s="27" t="n">
        <f aca="false">IF(N(O110)&lt;=0.005,0,N(O110)*(1+N('Min gæld'!$D$7)/12))</f>
        <v>0</v>
      </c>
      <c r="N111" s="27" t="n">
        <f aca="false">IF(M111&lt;=0,0,MIN(M111,N('Min gæld'!$E$7)+L111))</f>
        <v>0</v>
      </c>
      <c r="O111" s="27" t="n">
        <f aca="false">IF(M111-N111&lt;0.005,0,M111-N111)</f>
        <v>0</v>
      </c>
      <c r="P111" s="27" t="n">
        <f aca="false">MAX(0,IF(N(O110)&lt;=0.005,L111,L111+N('Min gæld'!$E$7)-N111))</f>
        <v>4800</v>
      </c>
      <c r="Q111" s="27" t="n">
        <f aca="false">IF(N(S110)&lt;=0.005,0,N(S110)*(1+N('Min gæld'!$D$8)/12))</f>
        <v>0</v>
      </c>
      <c r="R111" s="27" t="n">
        <f aca="false">IF(Q111&lt;=0,0,MIN(Q111,N('Min gæld'!$E$8)+P111))</f>
        <v>0</v>
      </c>
      <c r="S111" s="27" t="n">
        <f aca="false">IF(Q111-R111&lt;0.005,0,Q111-R111)</f>
        <v>0</v>
      </c>
      <c r="T111" s="27" t="n">
        <f aca="false">MAX(0,IF(N(S110)&lt;=0.005,P111,P111+N('Min gæld'!$E$8)-R111))</f>
        <v>4800</v>
      </c>
      <c r="U111" s="27" t="n">
        <f aca="false">IF(N(W110)&lt;=0.005,0,N(W110)*(1+N('Min gæld'!$D$9)/12))</f>
        <v>0</v>
      </c>
      <c r="V111" s="27" t="n">
        <f aca="false">IF(U111&lt;=0,0,MIN(U111,N('Min gæld'!$E$9)+T111))</f>
        <v>0</v>
      </c>
      <c r="W111" s="27" t="n">
        <f aca="false">IF(U111-V111&lt;0.005,0,U111-V111)</f>
        <v>0</v>
      </c>
      <c r="X111" s="27" t="n">
        <f aca="false">MAX(0,IF(N(W110)&lt;=0.005,T111,T111+N('Min gæld'!$E$9)-V111))</f>
        <v>4800</v>
      </c>
      <c r="Y111" s="27" t="n">
        <f aca="false">IF(N(AA110)&lt;=0.005,0,N(AA110)*(1+N('Min gæld'!$D$10)/12))</f>
        <v>0</v>
      </c>
      <c r="Z111" s="27" t="n">
        <f aca="false">IF(Y111&lt;=0,0,MIN(Y111,N('Min gæld'!$E$10)+X111))</f>
        <v>0</v>
      </c>
      <c r="AA111" s="27" t="n">
        <f aca="false">IF(Y111-Z111&lt;0.005,0,Y111-Z111)</f>
        <v>0</v>
      </c>
      <c r="AB111" s="27" t="n">
        <f aca="false">MAX(0,IF(N(AA110)&lt;=0.005,X111,X111+N('Min gæld'!$E$10)-Z111))</f>
        <v>4800</v>
      </c>
      <c r="AC111" s="27" t="n">
        <f aca="false">IF(N(AE110)&lt;=0.005,0,N(AE110)*(1+N('Min gæld'!$D$11)/12))</f>
        <v>0</v>
      </c>
      <c r="AD111" s="27" t="n">
        <f aca="false">IF(AC111&lt;=0,0,MIN(AC111,N('Min gæld'!$E$11)+AB111))</f>
        <v>0</v>
      </c>
      <c r="AE111" s="27" t="n">
        <f aca="false">IF(AC111-AD111&lt;0.005,0,AC111-AD111)</f>
        <v>0</v>
      </c>
      <c r="AF111" s="27" t="n">
        <f aca="false">MAX(0,IF(N(AE110)&lt;=0.005,AB111,AB111+N('Min gæld'!$E$11)-AD111))</f>
        <v>4800</v>
      </c>
      <c r="AG111" s="27" t="n">
        <f aca="false">IF(N(AI110)&lt;=0.005,0,N(AI110)*(1+N('Min gæld'!$D$12)/12))</f>
        <v>0</v>
      </c>
      <c r="AH111" s="27" t="n">
        <f aca="false">IF(AG111&lt;=0,0,MIN(AG111,N('Min gæld'!$E$12)+AF111))</f>
        <v>0</v>
      </c>
      <c r="AI111" s="27" t="n">
        <f aca="false">IF(AG111-AH111&lt;0.005,0,AG111-AH111)</f>
        <v>0</v>
      </c>
      <c r="AJ111" s="27" t="n">
        <f aca="false">G111+K111+O111+S111+W111+AA111+AE111+AI111</f>
        <v>0</v>
      </c>
      <c r="AK111" s="28" t="n">
        <f aca="false">IF(E111&gt;0,E111-N(G110),0)+IF(I111&gt;0,I111-N(K110),0)+IF(M111&gt;0,M111-N(O110),0)+IF(Q111&gt;0,Q111-N(S110),0)+IF(U111&gt;0,U111-N(W110),0)+IF(Y111&gt;0,Y111-N(AA110),0)+IF(AC111&gt;0,AC111-N(AE110),0)+IF(AG111&gt;0,AG111-N(AI110),0)</f>
        <v>0</v>
      </c>
    </row>
    <row r="112" customFormat="false" ht="15" hidden="false" customHeight="false" outlineLevel="0" collapsed="false">
      <c r="A112" s="25" t="n">
        <v>107</v>
      </c>
      <c r="B112" s="26" t="n">
        <f aca="false">EDATE('Min gæld'!$C$16,106)</f>
        <v>49614</v>
      </c>
      <c r="C112" s="27" t="n">
        <f aca="false">N('Min gæld'!$C$15)+IF(N(G111)&lt;=0.005,N('Min gæld'!$E$5),0)+IF(N(K111)&lt;=0.005,N('Min gæld'!$E$6),0)+IF(N(O111)&lt;=0.005,N('Min gæld'!$E$7),0)+IF(N(S111)&lt;=0.005,N('Min gæld'!$E$8),0)+IF(N(W111)&lt;=0.005,N('Min gæld'!$E$9),0)+IF(N(AA111)&lt;=0.005,N('Min gæld'!$E$10),0)+IF(N(AE111)&lt;=0.005,N('Min gæld'!$E$11),0)+IF(N(AI111)&lt;=0.005,N('Min gæld'!$E$12),0)</f>
        <v>4800</v>
      </c>
      <c r="D112" s="27" t="n">
        <f aca="false">MAX(0,C112)</f>
        <v>4800</v>
      </c>
      <c r="E112" s="27" t="n">
        <f aca="false">IF(N(G111)&lt;=0.005,0,N(G111)*(1+N('Min gæld'!$D$5)/12))</f>
        <v>0</v>
      </c>
      <c r="F112" s="27" t="n">
        <f aca="false">IF(E112&lt;=0,0,MIN(E112,N('Min gæld'!$E$5)+D112))</f>
        <v>0</v>
      </c>
      <c r="G112" s="27" t="n">
        <f aca="false">IF(E112-F112&lt;0.005,0,E112-F112)</f>
        <v>0</v>
      </c>
      <c r="H112" s="27" t="n">
        <f aca="false">MAX(0,IF(N(G111)&lt;=0.005,D112,D112+N('Min gæld'!$E$5)-F112))</f>
        <v>4800</v>
      </c>
      <c r="I112" s="27" t="n">
        <f aca="false">IF(N(K111)&lt;=0.005,0,N(K111)*(1+N('Min gæld'!$D$6)/12))</f>
        <v>0</v>
      </c>
      <c r="J112" s="27" t="n">
        <f aca="false">IF(I112&lt;=0,0,MIN(I112,N('Min gæld'!$E$6)+H112))</f>
        <v>0</v>
      </c>
      <c r="K112" s="27" t="n">
        <f aca="false">IF(I112-J112&lt;0.005,0,I112-J112)</f>
        <v>0</v>
      </c>
      <c r="L112" s="27" t="n">
        <f aca="false">MAX(0,IF(N(K111)&lt;=0.005,H112,H112+N('Min gæld'!$E$6)-J112))</f>
        <v>4800</v>
      </c>
      <c r="M112" s="27" t="n">
        <f aca="false">IF(N(O111)&lt;=0.005,0,N(O111)*(1+N('Min gæld'!$D$7)/12))</f>
        <v>0</v>
      </c>
      <c r="N112" s="27" t="n">
        <f aca="false">IF(M112&lt;=0,0,MIN(M112,N('Min gæld'!$E$7)+L112))</f>
        <v>0</v>
      </c>
      <c r="O112" s="27" t="n">
        <f aca="false">IF(M112-N112&lt;0.005,0,M112-N112)</f>
        <v>0</v>
      </c>
      <c r="P112" s="27" t="n">
        <f aca="false">MAX(0,IF(N(O111)&lt;=0.005,L112,L112+N('Min gæld'!$E$7)-N112))</f>
        <v>4800</v>
      </c>
      <c r="Q112" s="27" t="n">
        <f aca="false">IF(N(S111)&lt;=0.005,0,N(S111)*(1+N('Min gæld'!$D$8)/12))</f>
        <v>0</v>
      </c>
      <c r="R112" s="27" t="n">
        <f aca="false">IF(Q112&lt;=0,0,MIN(Q112,N('Min gæld'!$E$8)+P112))</f>
        <v>0</v>
      </c>
      <c r="S112" s="27" t="n">
        <f aca="false">IF(Q112-R112&lt;0.005,0,Q112-R112)</f>
        <v>0</v>
      </c>
      <c r="T112" s="27" t="n">
        <f aca="false">MAX(0,IF(N(S111)&lt;=0.005,P112,P112+N('Min gæld'!$E$8)-R112))</f>
        <v>4800</v>
      </c>
      <c r="U112" s="27" t="n">
        <f aca="false">IF(N(W111)&lt;=0.005,0,N(W111)*(1+N('Min gæld'!$D$9)/12))</f>
        <v>0</v>
      </c>
      <c r="V112" s="27" t="n">
        <f aca="false">IF(U112&lt;=0,0,MIN(U112,N('Min gæld'!$E$9)+T112))</f>
        <v>0</v>
      </c>
      <c r="W112" s="27" t="n">
        <f aca="false">IF(U112-V112&lt;0.005,0,U112-V112)</f>
        <v>0</v>
      </c>
      <c r="X112" s="27" t="n">
        <f aca="false">MAX(0,IF(N(W111)&lt;=0.005,T112,T112+N('Min gæld'!$E$9)-V112))</f>
        <v>4800</v>
      </c>
      <c r="Y112" s="27" t="n">
        <f aca="false">IF(N(AA111)&lt;=0.005,0,N(AA111)*(1+N('Min gæld'!$D$10)/12))</f>
        <v>0</v>
      </c>
      <c r="Z112" s="27" t="n">
        <f aca="false">IF(Y112&lt;=0,0,MIN(Y112,N('Min gæld'!$E$10)+X112))</f>
        <v>0</v>
      </c>
      <c r="AA112" s="27" t="n">
        <f aca="false">IF(Y112-Z112&lt;0.005,0,Y112-Z112)</f>
        <v>0</v>
      </c>
      <c r="AB112" s="27" t="n">
        <f aca="false">MAX(0,IF(N(AA111)&lt;=0.005,X112,X112+N('Min gæld'!$E$10)-Z112))</f>
        <v>4800</v>
      </c>
      <c r="AC112" s="27" t="n">
        <f aca="false">IF(N(AE111)&lt;=0.005,0,N(AE111)*(1+N('Min gæld'!$D$11)/12))</f>
        <v>0</v>
      </c>
      <c r="AD112" s="27" t="n">
        <f aca="false">IF(AC112&lt;=0,0,MIN(AC112,N('Min gæld'!$E$11)+AB112))</f>
        <v>0</v>
      </c>
      <c r="AE112" s="27" t="n">
        <f aca="false">IF(AC112-AD112&lt;0.005,0,AC112-AD112)</f>
        <v>0</v>
      </c>
      <c r="AF112" s="27" t="n">
        <f aca="false">MAX(0,IF(N(AE111)&lt;=0.005,AB112,AB112+N('Min gæld'!$E$11)-AD112))</f>
        <v>4800</v>
      </c>
      <c r="AG112" s="27" t="n">
        <f aca="false">IF(N(AI111)&lt;=0.005,0,N(AI111)*(1+N('Min gæld'!$D$12)/12))</f>
        <v>0</v>
      </c>
      <c r="AH112" s="27" t="n">
        <f aca="false">IF(AG112&lt;=0,0,MIN(AG112,N('Min gæld'!$E$12)+AF112))</f>
        <v>0</v>
      </c>
      <c r="AI112" s="27" t="n">
        <f aca="false">IF(AG112-AH112&lt;0.005,0,AG112-AH112)</f>
        <v>0</v>
      </c>
      <c r="AJ112" s="27" t="n">
        <f aca="false">G112+K112+O112+S112+W112+AA112+AE112+AI112</f>
        <v>0</v>
      </c>
      <c r="AK112" s="28" t="n">
        <f aca="false">IF(E112&gt;0,E112-N(G111),0)+IF(I112&gt;0,I112-N(K111),0)+IF(M112&gt;0,M112-N(O111),0)+IF(Q112&gt;0,Q112-N(S111),0)+IF(U112&gt;0,U112-N(W111),0)+IF(Y112&gt;0,Y112-N(AA111),0)+IF(AC112&gt;0,AC112-N(AE111),0)+IF(AG112&gt;0,AG112-N(AI111),0)</f>
        <v>0</v>
      </c>
    </row>
    <row r="113" customFormat="false" ht="15" hidden="false" customHeight="false" outlineLevel="0" collapsed="false">
      <c r="A113" s="25" t="n">
        <v>108</v>
      </c>
      <c r="B113" s="26" t="n">
        <f aca="false">EDATE('Min gæld'!$C$16,107)</f>
        <v>49644</v>
      </c>
      <c r="C113" s="27" t="n">
        <f aca="false">N('Min gæld'!$C$15)+IF(N(G112)&lt;=0.005,N('Min gæld'!$E$5),0)+IF(N(K112)&lt;=0.005,N('Min gæld'!$E$6),0)+IF(N(O112)&lt;=0.005,N('Min gæld'!$E$7),0)+IF(N(S112)&lt;=0.005,N('Min gæld'!$E$8),0)+IF(N(W112)&lt;=0.005,N('Min gæld'!$E$9),0)+IF(N(AA112)&lt;=0.005,N('Min gæld'!$E$10),0)+IF(N(AE112)&lt;=0.005,N('Min gæld'!$E$11),0)+IF(N(AI112)&lt;=0.005,N('Min gæld'!$E$12),0)</f>
        <v>4800</v>
      </c>
      <c r="D113" s="27" t="n">
        <f aca="false">MAX(0,C113)</f>
        <v>4800</v>
      </c>
      <c r="E113" s="27" t="n">
        <f aca="false">IF(N(G112)&lt;=0.005,0,N(G112)*(1+N('Min gæld'!$D$5)/12))</f>
        <v>0</v>
      </c>
      <c r="F113" s="27" t="n">
        <f aca="false">IF(E113&lt;=0,0,MIN(E113,N('Min gæld'!$E$5)+D113))</f>
        <v>0</v>
      </c>
      <c r="G113" s="27" t="n">
        <f aca="false">IF(E113-F113&lt;0.005,0,E113-F113)</f>
        <v>0</v>
      </c>
      <c r="H113" s="27" t="n">
        <f aca="false">MAX(0,IF(N(G112)&lt;=0.005,D113,D113+N('Min gæld'!$E$5)-F113))</f>
        <v>4800</v>
      </c>
      <c r="I113" s="27" t="n">
        <f aca="false">IF(N(K112)&lt;=0.005,0,N(K112)*(1+N('Min gæld'!$D$6)/12))</f>
        <v>0</v>
      </c>
      <c r="J113" s="27" t="n">
        <f aca="false">IF(I113&lt;=0,0,MIN(I113,N('Min gæld'!$E$6)+H113))</f>
        <v>0</v>
      </c>
      <c r="K113" s="27" t="n">
        <f aca="false">IF(I113-J113&lt;0.005,0,I113-J113)</f>
        <v>0</v>
      </c>
      <c r="L113" s="27" t="n">
        <f aca="false">MAX(0,IF(N(K112)&lt;=0.005,H113,H113+N('Min gæld'!$E$6)-J113))</f>
        <v>4800</v>
      </c>
      <c r="M113" s="27" t="n">
        <f aca="false">IF(N(O112)&lt;=0.005,0,N(O112)*(1+N('Min gæld'!$D$7)/12))</f>
        <v>0</v>
      </c>
      <c r="N113" s="27" t="n">
        <f aca="false">IF(M113&lt;=0,0,MIN(M113,N('Min gæld'!$E$7)+L113))</f>
        <v>0</v>
      </c>
      <c r="O113" s="27" t="n">
        <f aca="false">IF(M113-N113&lt;0.005,0,M113-N113)</f>
        <v>0</v>
      </c>
      <c r="P113" s="27" t="n">
        <f aca="false">MAX(0,IF(N(O112)&lt;=0.005,L113,L113+N('Min gæld'!$E$7)-N113))</f>
        <v>4800</v>
      </c>
      <c r="Q113" s="27" t="n">
        <f aca="false">IF(N(S112)&lt;=0.005,0,N(S112)*(1+N('Min gæld'!$D$8)/12))</f>
        <v>0</v>
      </c>
      <c r="R113" s="27" t="n">
        <f aca="false">IF(Q113&lt;=0,0,MIN(Q113,N('Min gæld'!$E$8)+P113))</f>
        <v>0</v>
      </c>
      <c r="S113" s="27" t="n">
        <f aca="false">IF(Q113-R113&lt;0.005,0,Q113-R113)</f>
        <v>0</v>
      </c>
      <c r="T113" s="27" t="n">
        <f aca="false">MAX(0,IF(N(S112)&lt;=0.005,P113,P113+N('Min gæld'!$E$8)-R113))</f>
        <v>4800</v>
      </c>
      <c r="U113" s="27" t="n">
        <f aca="false">IF(N(W112)&lt;=0.005,0,N(W112)*(1+N('Min gæld'!$D$9)/12))</f>
        <v>0</v>
      </c>
      <c r="V113" s="27" t="n">
        <f aca="false">IF(U113&lt;=0,0,MIN(U113,N('Min gæld'!$E$9)+T113))</f>
        <v>0</v>
      </c>
      <c r="W113" s="27" t="n">
        <f aca="false">IF(U113-V113&lt;0.005,0,U113-V113)</f>
        <v>0</v>
      </c>
      <c r="X113" s="27" t="n">
        <f aca="false">MAX(0,IF(N(W112)&lt;=0.005,T113,T113+N('Min gæld'!$E$9)-V113))</f>
        <v>4800</v>
      </c>
      <c r="Y113" s="27" t="n">
        <f aca="false">IF(N(AA112)&lt;=0.005,0,N(AA112)*(1+N('Min gæld'!$D$10)/12))</f>
        <v>0</v>
      </c>
      <c r="Z113" s="27" t="n">
        <f aca="false">IF(Y113&lt;=0,0,MIN(Y113,N('Min gæld'!$E$10)+X113))</f>
        <v>0</v>
      </c>
      <c r="AA113" s="27" t="n">
        <f aca="false">IF(Y113-Z113&lt;0.005,0,Y113-Z113)</f>
        <v>0</v>
      </c>
      <c r="AB113" s="27" t="n">
        <f aca="false">MAX(0,IF(N(AA112)&lt;=0.005,X113,X113+N('Min gæld'!$E$10)-Z113))</f>
        <v>4800</v>
      </c>
      <c r="AC113" s="27" t="n">
        <f aca="false">IF(N(AE112)&lt;=0.005,0,N(AE112)*(1+N('Min gæld'!$D$11)/12))</f>
        <v>0</v>
      </c>
      <c r="AD113" s="27" t="n">
        <f aca="false">IF(AC113&lt;=0,0,MIN(AC113,N('Min gæld'!$E$11)+AB113))</f>
        <v>0</v>
      </c>
      <c r="AE113" s="27" t="n">
        <f aca="false">IF(AC113-AD113&lt;0.005,0,AC113-AD113)</f>
        <v>0</v>
      </c>
      <c r="AF113" s="27" t="n">
        <f aca="false">MAX(0,IF(N(AE112)&lt;=0.005,AB113,AB113+N('Min gæld'!$E$11)-AD113))</f>
        <v>4800</v>
      </c>
      <c r="AG113" s="27" t="n">
        <f aca="false">IF(N(AI112)&lt;=0.005,0,N(AI112)*(1+N('Min gæld'!$D$12)/12))</f>
        <v>0</v>
      </c>
      <c r="AH113" s="27" t="n">
        <f aca="false">IF(AG113&lt;=0,0,MIN(AG113,N('Min gæld'!$E$12)+AF113))</f>
        <v>0</v>
      </c>
      <c r="AI113" s="27" t="n">
        <f aca="false">IF(AG113-AH113&lt;0.005,0,AG113-AH113)</f>
        <v>0</v>
      </c>
      <c r="AJ113" s="27" t="n">
        <f aca="false">G113+K113+O113+S113+W113+AA113+AE113+AI113</f>
        <v>0</v>
      </c>
      <c r="AK113" s="28" t="n">
        <f aca="false">IF(E113&gt;0,E113-N(G112),0)+IF(I113&gt;0,I113-N(K112),0)+IF(M113&gt;0,M113-N(O112),0)+IF(Q113&gt;0,Q113-N(S112),0)+IF(U113&gt;0,U113-N(W112),0)+IF(Y113&gt;0,Y113-N(AA112),0)+IF(AC113&gt;0,AC113-N(AE112),0)+IF(AG113&gt;0,AG113-N(AI112),0)</f>
        <v>0</v>
      </c>
    </row>
    <row r="114" customFormat="false" ht="15" hidden="false" customHeight="false" outlineLevel="0" collapsed="false">
      <c r="A114" s="25" t="n">
        <v>109</v>
      </c>
      <c r="B114" s="26" t="n">
        <f aca="false">EDATE('Min gæld'!$C$16,108)</f>
        <v>49675</v>
      </c>
      <c r="C114" s="27" t="n">
        <f aca="false">N('Min gæld'!$C$15)+IF(N(G113)&lt;=0.005,N('Min gæld'!$E$5),0)+IF(N(K113)&lt;=0.005,N('Min gæld'!$E$6),0)+IF(N(O113)&lt;=0.005,N('Min gæld'!$E$7),0)+IF(N(S113)&lt;=0.005,N('Min gæld'!$E$8),0)+IF(N(W113)&lt;=0.005,N('Min gæld'!$E$9),0)+IF(N(AA113)&lt;=0.005,N('Min gæld'!$E$10),0)+IF(N(AE113)&lt;=0.005,N('Min gæld'!$E$11),0)+IF(N(AI113)&lt;=0.005,N('Min gæld'!$E$12),0)</f>
        <v>4800</v>
      </c>
      <c r="D114" s="27" t="n">
        <f aca="false">MAX(0,C114)</f>
        <v>4800</v>
      </c>
      <c r="E114" s="27" t="n">
        <f aca="false">IF(N(G113)&lt;=0.005,0,N(G113)*(1+N('Min gæld'!$D$5)/12))</f>
        <v>0</v>
      </c>
      <c r="F114" s="27" t="n">
        <f aca="false">IF(E114&lt;=0,0,MIN(E114,N('Min gæld'!$E$5)+D114))</f>
        <v>0</v>
      </c>
      <c r="G114" s="27" t="n">
        <f aca="false">IF(E114-F114&lt;0.005,0,E114-F114)</f>
        <v>0</v>
      </c>
      <c r="H114" s="27" t="n">
        <f aca="false">MAX(0,IF(N(G113)&lt;=0.005,D114,D114+N('Min gæld'!$E$5)-F114))</f>
        <v>4800</v>
      </c>
      <c r="I114" s="27" t="n">
        <f aca="false">IF(N(K113)&lt;=0.005,0,N(K113)*(1+N('Min gæld'!$D$6)/12))</f>
        <v>0</v>
      </c>
      <c r="J114" s="27" t="n">
        <f aca="false">IF(I114&lt;=0,0,MIN(I114,N('Min gæld'!$E$6)+H114))</f>
        <v>0</v>
      </c>
      <c r="K114" s="27" t="n">
        <f aca="false">IF(I114-J114&lt;0.005,0,I114-J114)</f>
        <v>0</v>
      </c>
      <c r="L114" s="27" t="n">
        <f aca="false">MAX(0,IF(N(K113)&lt;=0.005,H114,H114+N('Min gæld'!$E$6)-J114))</f>
        <v>4800</v>
      </c>
      <c r="M114" s="27" t="n">
        <f aca="false">IF(N(O113)&lt;=0.005,0,N(O113)*(1+N('Min gæld'!$D$7)/12))</f>
        <v>0</v>
      </c>
      <c r="N114" s="27" t="n">
        <f aca="false">IF(M114&lt;=0,0,MIN(M114,N('Min gæld'!$E$7)+L114))</f>
        <v>0</v>
      </c>
      <c r="O114" s="27" t="n">
        <f aca="false">IF(M114-N114&lt;0.005,0,M114-N114)</f>
        <v>0</v>
      </c>
      <c r="P114" s="27" t="n">
        <f aca="false">MAX(0,IF(N(O113)&lt;=0.005,L114,L114+N('Min gæld'!$E$7)-N114))</f>
        <v>4800</v>
      </c>
      <c r="Q114" s="27" t="n">
        <f aca="false">IF(N(S113)&lt;=0.005,0,N(S113)*(1+N('Min gæld'!$D$8)/12))</f>
        <v>0</v>
      </c>
      <c r="R114" s="27" t="n">
        <f aca="false">IF(Q114&lt;=0,0,MIN(Q114,N('Min gæld'!$E$8)+P114))</f>
        <v>0</v>
      </c>
      <c r="S114" s="27" t="n">
        <f aca="false">IF(Q114-R114&lt;0.005,0,Q114-R114)</f>
        <v>0</v>
      </c>
      <c r="T114" s="27" t="n">
        <f aca="false">MAX(0,IF(N(S113)&lt;=0.005,P114,P114+N('Min gæld'!$E$8)-R114))</f>
        <v>4800</v>
      </c>
      <c r="U114" s="27" t="n">
        <f aca="false">IF(N(W113)&lt;=0.005,0,N(W113)*(1+N('Min gæld'!$D$9)/12))</f>
        <v>0</v>
      </c>
      <c r="V114" s="27" t="n">
        <f aca="false">IF(U114&lt;=0,0,MIN(U114,N('Min gæld'!$E$9)+T114))</f>
        <v>0</v>
      </c>
      <c r="W114" s="27" t="n">
        <f aca="false">IF(U114-V114&lt;0.005,0,U114-V114)</f>
        <v>0</v>
      </c>
      <c r="X114" s="27" t="n">
        <f aca="false">MAX(0,IF(N(W113)&lt;=0.005,T114,T114+N('Min gæld'!$E$9)-V114))</f>
        <v>4800</v>
      </c>
      <c r="Y114" s="27" t="n">
        <f aca="false">IF(N(AA113)&lt;=0.005,0,N(AA113)*(1+N('Min gæld'!$D$10)/12))</f>
        <v>0</v>
      </c>
      <c r="Z114" s="27" t="n">
        <f aca="false">IF(Y114&lt;=0,0,MIN(Y114,N('Min gæld'!$E$10)+X114))</f>
        <v>0</v>
      </c>
      <c r="AA114" s="27" t="n">
        <f aca="false">IF(Y114-Z114&lt;0.005,0,Y114-Z114)</f>
        <v>0</v>
      </c>
      <c r="AB114" s="27" t="n">
        <f aca="false">MAX(0,IF(N(AA113)&lt;=0.005,X114,X114+N('Min gæld'!$E$10)-Z114))</f>
        <v>4800</v>
      </c>
      <c r="AC114" s="27" t="n">
        <f aca="false">IF(N(AE113)&lt;=0.005,0,N(AE113)*(1+N('Min gæld'!$D$11)/12))</f>
        <v>0</v>
      </c>
      <c r="AD114" s="27" t="n">
        <f aca="false">IF(AC114&lt;=0,0,MIN(AC114,N('Min gæld'!$E$11)+AB114))</f>
        <v>0</v>
      </c>
      <c r="AE114" s="27" t="n">
        <f aca="false">IF(AC114-AD114&lt;0.005,0,AC114-AD114)</f>
        <v>0</v>
      </c>
      <c r="AF114" s="27" t="n">
        <f aca="false">MAX(0,IF(N(AE113)&lt;=0.005,AB114,AB114+N('Min gæld'!$E$11)-AD114))</f>
        <v>4800</v>
      </c>
      <c r="AG114" s="27" t="n">
        <f aca="false">IF(N(AI113)&lt;=0.005,0,N(AI113)*(1+N('Min gæld'!$D$12)/12))</f>
        <v>0</v>
      </c>
      <c r="AH114" s="27" t="n">
        <f aca="false">IF(AG114&lt;=0,0,MIN(AG114,N('Min gæld'!$E$12)+AF114))</f>
        <v>0</v>
      </c>
      <c r="AI114" s="27" t="n">
        <f aca="false">IF(AG114-AH114&lt;0.005,0,AG114-AH114)</f>
        <v>0</v>
      </c>
      <c r="AJ114" s="27" t="n">
        <f aca="false">G114+K114+O114+S114+W114+AA114+AE114+AI114</f>
        <v>0</v>
      </c>
      <c r="AK114" s="28" t="n">
        <f aca="false">IF(E114&gt;0,E114-N(G113),0)+IF(I114&gt;0,I114-N(K113),0)+IF(M114&gt;0,M114-N(O113),0)+IF(Q114&gt;0,Q114-N(S113),0)+IF(U114&gt;0,U114-N(W113),0)+IF(Y114&gt;0,Y114-N(AA113),0)+IF(AC114&gt;0,AC114-N(AE113),0)+IF(AG114&gt;0,AG114-N(AI113),0)</f>
        <v>0</v>
      </c>
    </row>
    <row r="115" customFormat="false" ht="15" hidden="false" customHeight="false" outlineLevel="0" collapsed="false">
      <c r="A115" s="25" t="n">
        <v>110</v>
      </c>
      <c r="B115" s="26" t="n">
        <f aca="false">EDATE('Min gæld'!$C$16,109)</f>
        <v>49706</v>
      </c>
      <c r="C115" s="27" t="n">
        <f aca="false">N('Min gæld'!$C$15)+IF(N(G114)&lt;=0.005,N('Min gæld'!$E$5),0)+IF(N(K114)&lt;=0.005,N('Min gæld'!$E$6),0)+IF(N(O114)&lt;=0.005,N('Min gæld'!$E$7),0)+IF(N(S114)&lt;=0.005,N('Min gæld'!$E$8),0)+IF(N(W114)&lt;=0.005,N('Min gæld'!$E$9),0)+IF(N(AA114)&lt;=0.005,N('Min gæld'!$E$10),0)+IF(N(AE114)&lt;=0.005,N('Min gæld'!$E$11),0)+IF(N(AI114)&lt;=0.005,N('Min gæld'!$E$12),0)</f>
        <v>4800</v>
      </c>
      <c r="D115" s="27" t="n">
        <f aca="false">MAX(0,C115)</f>
        <v>4800</v>
      </c>
      <c r="E115" s="27" t="n">
        <f aca="false">IF(N(G114)&lt;=0.005,0,N(G114)*(1+N('Min gæld'!$D$5)/12))</f>
        <v>0</v>
      </c>
      <c r="F115" s="27" t="n">
        <f aca="false">IF(E115&lt;=0,0,MIN(E115,N('Min gæld'!$E$5)+D115))</f>
        <v>0</v>
      </c>
      <c r="G115" s="27" t="n">
        <f aca="false">IF(E115-F115&lt;0.005,0,E115-F115)</f>
        <v>0</v>
      </c>
      <c r="H115" s="27" t="n">
        <f aca="false">MAX(0,IF(N(G114)&lt;=0.005,D115,D115+N('Min gæld'!$E$5)-F115))</f>
        <v>4800</v>
      </c>
      <c r="I115" s="27" t="n">
        <f aca="false">IF(N(K114)&lt;=0.005,0,N(K114)*(1+N('Min gæld'!$D$6)/12))</f>
        <v>0</v>
      </c>
      <c r="J115" s="27" t="n">
        <f aca="false">IF(I115&lt;=0,0,MIN(I115,N('Min gæld'!$E$6)+H115))</f>
        <v>0</v>
      </c>
      <c r="K115" s="27" t="n">
        <f aca="false">IF(I115-J115&lt;0.005,0,I115-J115)</f>
        <v>0</v>
      </c>
      <c r="L115" s="27" t="n">
        <f aca="false">MAX(0,IF(N(K114)&lt;=0.005,H115,H115+N('Min gæld'!$E$6)-J115))</f>
        <v>4800</v>
      </c>
      <c r="M115" s="27" t="n">
        <f aca="false">IF(N(O114)&lt;=0.005,0,N(O114)*(1+N('Min gæld'!$D$7)/12))</f>
        <v>0</v>
      </c>
      <c r="N115" s="27" t="n">
        <f aca="false">IF(M115&lt;=0,0,MIN(M115,N('Min gæld'!$E$7)+L115))</f>
        <v>0</v>
      </c>
      <c r="O115" s="27" t="n">
        <f aca="false">IF(M115-N115&lt;0.005,0,M115-N115)</f>
        <v>0</v>
      </c>
      <c r="P115" s="27" t="n">
        <f aca="false">MAX(0,IF(N(O114)&lt;=0.005,L115,L115+N('Min gæld'!$E$7)-N115))</f>
        <v>4800</v>
      </c>
      <c r="Q115" s="27" t="n">
        <f aca="false">IF(N(S114)&lt;=0.005,0,N(S114)*(1+N('Min gæld'!$D$8)/12))</f>
        <v>0</v>
      </c>
      <c r="R115" s="27" t="n">
        <f aca="false">IF(Q115&lt;=0,0,MIN(Q115,N('Min gæld'!$E$8)+P115))</f>
        <v>0</v>
      </c>
      <c r="S115" s="27" t="n">
        <f aca="false">IF(Q115-R115&lt;0.005,0,Q115-R115)</f>
        <v>0</v>
      </c>
      <c r="T115" s="27" t="n">
        <f aca="false">MAX(0,IF(N(S114)&lt;=0.005,P115,P115+N('Min gæld'!$E$8)-R115))</f>
        <v>4800</v>
      </c>
      <c r="U115" s="27" t="n">
        <f aca="false">IF(N(W114)&lt;=0.005,0,N(W114)*(1+N('Min gæld'!$D$9)/12))</f>
        <v>0</v>
      </c>
      <c r="V115" s="27" t="n">
        <f aca="false">IF(U115&lt;=0,0,MIN(U115,N('Min gæld'!$E$9)+T115))</f>
        <v>0</v>
      </c>
      <c r="W115" s="27" t="n">
        <f aca="false">IF(U115-V115&lt;0.005,0,U115-V115)</f>
        <v>0</v>
      </c>
      <c r="X115" s="27" t="n">
        <f aca="false">MAX(0,IF(N(W114)&lt;=0.005,T115,T115+N('Min gæld'!$E$9)-V115))</f>
        <v>4800</v>
      </c>
      <c r="Y115" s="27" t="n">
        <f aca="false">IF(N(AA114)&lt;=0.005,0,N(AA114)*(1+N('Min gæld'!$D$10)/12))</f>
        <v>0</v>
      </c>
      <c r="Z115" s="27" t="n">
        <f aca="false">IF(Y115&lt;=0,0,MIN(Y115,N('Min gæld'!$E$10)+X115))</f>
        <v>0</v>
      </c>
      <c r="AA115" s="27" t="n">
        <f aca="false">IF(Y115-Z115&lt;0.005,0,Y115-Z115)</f>
        <v>0</v>
      </c>
      <c r="AB115" s="27" t="n">
        <f aca="false">MAX(0,IF(N(AA114)&lt;=0.005,X115,X115+N('Min gæld'!$E$10)-Z115))</f>
        <v>4800</v>
      </c>
      <c r="AC115" s="27" t="n">
        <f aca="false">IF(N(AE114)&lt;=0.005,0,N(AE114)*(1+N('Min gæld'!$D$11)/12))</f>
        <v>0</v>
      </c>
      <c r="AD115" s="27" t="n">
        <f aca="false">IF(AC115&lt;=0,0,MIN(AC115,N('Min gæld'!$E$11)+AB115))</f>
        <v>0</v>
      </c>
      <c r="AE115" s="27" t="n">
        <f aca="false">IF(AC115-AD115&lt;0.005,0,AC115-AD115)</f>
        <v>0</v>
      </c>
      <c r="AF115" s="27" t="n">
        <f aca="false">MAX(0,IF(N(AE114)&lt;=0.005,AB115,AB115+N('Min gæld'!$E$11)-AD115))</f>
        <v>4800</v>
      </c>
      <c r="AG115" s="27" t="n">
        <f aca="false">IF(N(AI114)&lt;=0.005,0,N(AI114)*(1+N('Min gæld'!$D$12)/12))</f>
        <v>0</v>
      </c>
      <c r="AH115" s="27" t="n">
        <f aca="false">IF(AG115&lt;=0,0,MIN(AG115,N('Min gæld'!$E$12)+AF115))</f>
        <v>0</v>
      </c>
      <c r="AI115" s="27" t="n">
        <f aca="false">IF(AG115-AH115&lt;0.005,0,AG115-AH115)</f>
        <v>0</v>
      </c>
      <c r="AJ115" s="27" t="n">
        <f aca="false">G115+K115+O115+S115+W115+AA115+AE115+AI115</f>
        <v>0</v>
      </c>
      <c r="AK115" s="28" t="n">
        <f aca="false">IF(E115&gt;0,E115-N(G114),0)+IF(I115&gt;0,I115-N(K114),0)+IF(M115&gt;0,M115-N(O114),0)+IF(Q115&gt;0,Q115-N(S114),0)+IF(U115&gt;0,U115-N(W114),0)+IF(Y115&gt;0,Y115-N(AA114),0)+IF(AC115&gt;0,AC115-N(AE114),0)+IF(AG115&gt;0,AG115-N(AI114),0)</f>
        <v>0</v>
      </c>
    </row>
    <row r="116" customFormat="false" ht="15" hidden="false" customHeight="false" outlineLevel="0" collapsed="false">
      <c r="A116" s="25" t="n">
        <v>111</v>
      </c>
      <c r="B116" s="26" t="n">
        <f aca="false">EDATE('Min gæld'!$C$16,110)</f>
        <v>49735</v>
      </c>
      <c r="C116" s="27" t="n">
        <f aca="false">N('Min gæld'!$C$15)+IF(N(G115)&lt;=0.005,N('Min gæld'!$E$5),0)+IF(N(K115)&lt;=0.005,N('Min gæld'!$E$6),0)+IF(N(O115)&lt;=0.005,N('Min gæld'!$E$7),0)+IF(N(S115)&lt;=0.005,N('Min gæld'!$E$8),0)+IF(N(W115)&lt;=0.005,N('Min gæld'!$E$9),0)+IF(N(AA115)&lt;=0.005,N('Min gæld'!$E$10),0)+IF(N(AE115)&lt;=0.005,N('Min gæld'!$E$11),0)+IF(N(AI115)&lt;=0.005,N('Min gæld'!$E$12),0)</f>
        <v>4800</v>
      </c>
      <c r="D116" s="27" t="n">
        <f aca="false">MAX(0,C116)</f>
        <v>4800</v>
      </c>
      <c r="E116" s="27" t="n">
        <f aca="false">IF(N(G115)&lt;=0.005,0,N(G115)*(1+N('Min gæld'!$D$5)/12))</f>
        <v>0</v>
      </c>
      <c r="F116" s="27" t="n">
        <f aca="false">IF(E116&lt;=0,0,MIN(E116,N('Min gæld'!$E$5)+D116))</f>
        <v>0</v>
      </c>
      <c r="G116" s="27" t="n">
        <f aca="false">IF(E116-F116&lt;0.005,0,E116-F116)</f>
        <v>0</v>
      </c>
      <c r="H116" s="27" t="n">
        <f aca="false">MAX(0,IF(N(G115)&lt;=0.005,D116,D116+N('Min gæld'!$E$5)-F116))</f>
        <v>4800</v>
      </c>
      <c r="I116" s="27" t="n">
        <f aca="false">IF(N(K115)&lt;=0.005,0,N(K115)*(1+N('Min gæld'!$D$6)/12))</f>
        <v>0</v>
      </c>
      <c r="J116" s="27" t="n">
        <f aca="false">IF(I116&lt;=0,0,MIN(I116,N('Min gæld'!$E$6)+H116))</f>
        <v>0</v>
      </c>
      <c r="K116" s="27" t="n">
        <f aca="false">IF(I116-J116&lt;0.005,0,I116-J116)</f>
        <v>0</v>
      </c>
      <c r="L116" s="27" t="n">
        <f aca="false">MAX(0,IF(N(K115)&lt;=0.005,H116,H116+N('Min gæld'!$E$6)-J116))</f>
        <v>4800</v>
      </c>
      <c r="M116" s="27" t="n">
        <f aca="false">IF(N(O115)&lt;=0.005,0,N(O115)*(1+N('Min gæld'!$D$7)/12))</f>
        <v>0</v>
      </c>
      <c r="N116" s="27" t="n">
        <f aca="false">IF(M116&lt;=0,0,MIN(M116,N('Min gæld'!$E$7)+L116))</f>
        <v>0</v>
      </c>
      <c r="O116" s="27" t="n">
        <f aca="false">IF(M116-N116&lt;0.005,0,M116-N116)</f>
        <v>0</v>
      </c>
      <c r="P116" s="27" t="n">
        <f aca="false">MAX(0,IF(N(O115)&lt;=0.005,L116,L116+N('Min gæld'!$E$7)-N116))</f>
        <v>4800</v>
      </c>
      <c r="Q116" s="27" t="n">
        <f aca="false">IF(N(S115)&lt;=0.005,0,N(S115)*(1+N('Min gæld'!$D$8)/12))</f>
        <v>0</v>
      </c>
      <c r="R116" s="27" t="n">
        <f aca="false">IF(Q116&lt;=0,0,MIN(Q116,N('Min gæld'!$E$8)+P116))</f>
        <v>0</v>
      </c>
      <c r="S116" s="27" t="n">
        <f aca="false">IF(Q116-R116&lt;0.005,0,Q116-R116)</f>
        <v>0</v>
      </c>
      <c r="T116" s="27" t="n">
        <f aca="false">MAX(0,IF(N(S115)&lt;=0.005,P116,P116+N('Min gæld'!$E$8)-R116))</f>
        <v>4800</v>
      </c>
      <c r="U116" s="27" t="n">
        <f aca="false">IF(N(W115)&lt;=0.005,0,N(W115)*(1+N('Min gæld'!$D$9)/12))</f>
        <v>0</v>
      </c>
      <c r="V116" s="27" t="n">
        <f aca="false">IF(U116&lt;=0,0,MIN(U116,N('Min gæld'!$E$9)+T116))</f>
        <v>0</v>
      </c>
      <c r="W116" s="27" t="n">
        <f aca="false">IF(U116-V116&lt;0.005,0,U116-V116)</f>
        <v>0</v>
      </c>
      <c r="X116" s="27" t="n">
        <f aca="false">MAX(0,IF(N(W115)&lt;=0.005,T116,T116+N('Min gæld'!$E$9)-V116))</f>
        <v>4800</v>
      </c>
      <c r="Y116" s="27" t="n">
        <f aca="false">IF(N(AA115)&lt;=0.005,0,N(AA115)*(1+N('Min gæld'!$D$10)/12))</f>
        <v>0</v>
      </c>
      <c r="Z116" s="27" t="n">
        <f aca="false">IF(Y116&lt;=0,0,MIN(Y116,N('Min gæld'!$E$10)+X116))</f>
        <v>0</v>
      </c>
      <c r="AA116" s="27" t="n">
        <f aca="false">IF(Y116-Z116&lt;0.005,0,Y116-Z116)</f>
        <v>0</v>
      </c>
      <c r="AB116" s="27" t="n">
        <f aca="false">MAX(0,IF(N(AA115)&lt;=0.005,X116,X116+N('Min gæld'!$E$10)-Z116))</f>
        <v>4800</v>
      </c>
      <c r="AC116" s="27" t="n">
        <f aca="false">IF(N(AE115)&lt;=0.005,0,N(AE115)*(1+N('Min gæld'!$D$11)/12))</f>
        <v>0</v>
      </c>
      <c r="AD116" s="27" t="n">
        <f aca="false">IF(AC116&lt;=0,0,MIN(AC116,N('Min gæld'!$E$11)+AB116))</f>
        <v>0</v>
      </c>
      <c r="AE116" s="27" t="n">
        <f aca="false">IF(AC116-AD116&lt;0.005,0,AC116-AD116)</f>
        <v>0</v>
      </c>
      <c r="AF116" s="27" t="n">
        <f aca="false">MAX(0,IF(N(AE115)&lt;=0.005,AB116,AB116+N('Min gæld'!$E$11)-AD116))</f>
        <v>4800</v>
      </c>
      <c r="AG116" s="27" t="n">
        <f aca="false">IF(N(AI115)&lt;=0.005,0,N(AI115)*(1+N('Min gæld'!$D$12)/12))</f>
        <v>0</v>
      </c>
      <c r="AH116" s="27" t="n">
        <f aca="false">IF(AG116&lt;=0,0,MIN(AG116,N('Min gæld'!$E$12)+AF116))</f>
        <v>0</v>
      </c>
      <c r="AI116" s="27" t="n">
        <f aca="false">IF(AG116-AH116&lt;0.005,0,AG116-AH116)</f>
        <v>0</v>
      </c>
      <c r="AJ116" s="27" t="n">
        <f aca="false">G116+K116+O116+S116+W116+AA116+AE116+AI116</f>
        <v>0</v>
      </c>
      <c r="AK116" s="28" t="n">
        <f aca="false">IF(E116&gt;0,E116-N(G115),0)+IF(I116&gt;0,I116-N(K115),0)+IF(M116&gt;0,M116-N(O115),0)+IF(Q116&gt;0,Q116-N(S115),0)+IF(U116&gt;0,U116-N(W115),0)+IF(Y116&gt;0,Y116-N(AA115),0)+IF(AC116&gt;0,AC116-N(AE115),0)+IF(AG116&gt;0,AG116-N(AI115),0)</f>
        <v>0</v>
      </c>
    </row>
    <row r="117" customFormat="false" ht="15" hidden="false" customHeight="false" outlineLevel="0" collapsed="false">
      <c r="A117" s="25" t="n">
        <v>112</v>
      </c>
      <c r="B117" s="26" t="n">
        <f aca="false">EDATE('Min gæld'!$C$16,111)</f>
        <v>49766</v>
      </c>
      <c r="C117" s="27" t="n">
        <f aca="false">N('Min gæld'!$C$15)+IF(N(G116)&lt;=0.005,N('Min gæld'!$E$5),0)+IF(N(K116)&lt;=0.005,N('Min gæld'!$E$6),0)+IF(N(O116)&lt;=0.005,N('Min gæld'!$E$7),0)+IF(N(S116)&lt;=0.005,N('Min gæld'!$E$8),0)+IF(N(W116)&lt;=0.005,N('Min gæld'!$E$9),0)+IF(N(AA116)&lt;=0.005,N('Min gæld'!$E$10),0)+IF(N(AE116)&lt;=0.005,N('Min gæld'!$E$11),0)+IF(N(AI116)&lt;=0.005,N('Min gæld'!$E$12),0)</f>
        <v>4800</v>
      </c>
      <c r="D117" s="27" t="n">
        <f aca="false">MAX(0,C117)</f>
        <v>4800</v>
      </c>
      <c r="E117" s="27" t="n">
        <f aca="false">IF(N(G116)&lt;=0.005,0,N(G116)*(1+N('Min gæld'!$D$5)/12))</f>
        <v>0</v>
      </c>
      <c r="F117" s="27" t="n">
        <f aca="false">IF(E117&lt;=0,0,MIN(E117,N('Min gæld'!$E$5)+D117))</f>
        <v>0</v>
      </c>
      <c r="G117" s="27" t="n">
        <f aca="false">IF(E117-F117&lt;0.005,0,E117-F117)</f>
        <v>0</v>
      </c>
      <c r="H117" s="27" t="n">
        <f aca="false">MAX(0,IF(N(G116)&lt;=0.005,D117,D117+N('Min gæld'!$E$5)-F117))</f>
        <v>4800</v>
      </c>
      <c r="I117" s="27" t="n">
        <f aca="false">IF(N(K116)&lt;=0.005,0,N(K116)*(1+N('Min gæld'!$D$6)/12))</f>
        <v>0</v>
      </c>
      <c r="J117" s="27" t="n">
        <f aca="false">IF(I117&lt;=0,0,MIN(I117,N('Min gæld'!$E$6)+H117))</f>
        <v>0</v>
      </c>
      <c r="K117" s="27" t="n">
        <f aca="false">IF(I117-J117&lt;0.005,0,I117-J117)</f>
        <v>0</v>
      </c>
      <c r="L117" s="27" t="n">
        <f aca="false">MAX(0,IF(N(K116)&lt;=0.005,H117,H117+N('Min gæld'!$E$6)-J117))</f>
        <v>4800</v>
      </c>
      <c r="M117" s="27" t="n">
        <f aca="false">IF(N(O116)&lt;=0.005,0,N(O116)*(1+N('Min gæld'!$D$7)/12))</f>
        <v>0</v>
      </c>
      <c r="N117" s="27" t="n">
        <f aca="false">IF(M117&lt;=0,0,MIN(M117,N('Min gæld'!$E$7)+L117))</f>
        <v>0</v>
      </c>
      <c r="O117" s="27" t="n">
        <f aca="false">IF(M117-N117&lt;0.005,0,M117-N117)</f>
        <v>0</v>
      </c>
      <c r="P117" s="27" t="n">
        <f aca="false">MAX(0,IF(N(O116)&lt;=0.005,L117,L117+N('Min gæld'!$E$7)-N117))</f>
        <v>4800</v>
      </c>
      <c r="Q117" s="27" t="n">
        <f aca="false">IF(N(S116)&lt;=0.005,0,N(S116)*(1+N('Min gæld'!$D$8)/12))</f>
        <v>0</v>
      </c>
      <c r="R117" s="27" t="n">
        <f aca="false">IF(Q117&lt;=0,0,MIN(Q117,N('Min gæld'!$E$8)+P117))</f>
        <v>0</v>
      </c>
      <c r="S117" s="27" t="n">
        <f aca="false">IF(Q117-R117&lt;0.005,0,Q117-R117)</f>
        <v>0</v>
      </c>
      <c r="T117" s="27" t="n">
        <f aca="false">MAX(0,IF(N(S116)&lt;=0.005,P117,P117+N('Min gæld'!$E$8)-R117))</f>
        <v>4800</v>
      </c>
      <c r="U117" s="27" t="n">
        <f aca="false">IF(N(W116)&lt;=0.005,0,N(W116)*(1+N('Min gæld'!$D$9)/12))</f>
        <v>0</v>
      </c>
      <c r="V117" s="27" t="n">
        <f aca="false">IF(U117&lt;=0,0,MIN(U117,N('Min gæld'!$E$9)+T117))</f>
        <v>0</v>
      </c>
      <c r="W117" s="27" t="n">
        <f aca="false">IF(U117-V117&lt;0.005,0,U117-V117)</f>
        <v>0</v>
      </c>
      <c r="X117" s="27" t="n">
        <f aca="false">MAX(0,IF(N(W116)&lt;=0.005,T117,T117+N('Min gæld'!$E$9)-V117))</f>
        <v>4800</v>
      </c>
      <c r="Y117" s="27" t="n">
        <f aca="false">IF(N(AA116)&lt;=0.005,0,N(AA116)*(1+N('Min gæld'!$D$10)/12))</f>
        <v>0</v>
      </c>
      <c r="Z117" s="27" t="n">
        <f aca="false">IF(Y117&lt;=0,0,MIN(Y117,N('Min gæld'!$E$10)+X117))</f>
        <v>0</v>
      </c>
      <c r="AA117" s="27" t="n">
        <f aca="false">IF(Y117-Z117&lt;0.005,0,Y117-Z117)</f>
        <v>0</v>
      </c>
      <c r="AB117" s="27" t="n">
        <f aca="false">MAX(0,IF(N(AA116)&lt;=0.005,X117,X117+N('Min gæld'!$E$10)-Z117))</f>
        <v>4800</v>
      </c>
      <c r="AC117" s="27" t="n">
        <f aca="false">IF(N(AE116)&lt;=0.005,0,N(AE116)*(1+N('Min gæld'!$D$11)/12))</f>
        <v>0</v>
      </c>
      <c r="AD117" s="27" t="n">
        <f aca="false">IF(AC117&lt;=0,0,MIN(AC117,N('Min gæld'!$E$11)+AB117))</f>
        <v>0</v>
      </c>
      <c r="AE117" s="27" t="n">
        <f aca="false">IF(AC117-AD117&lt;0.005,0,AC117-AD117)</f>
        <v>0</v>
      </c>
      <c r="AF117" s="27" t="n">
        <f aca="false">MAX(0,IF(N(AE116)&lt;=0.005,AB117,AB117+N('Min gæld'!$E$11)-AD117))</f>
        <v>4800</v>
      </c>
      <c r="AG117" s="27" t="n">
        <f aca="false">IF(N(AI116)&lt;=0.005,0,N(AI116)*(1+N('Min gæld'!$D$12)/12))</f>
        <v>0</v>
      </c>
      <c r="AH117" s="27" t="n">
        <f aca="false">IF(AG117&lt;=0,0,MIN(AG117,N('Min gæld'!$E$12)+AF117))</f>
        <v>0</v>
      </c>
      <c r="AI117" s="27" t="n">
        <f aca="false">IF(AG117-AH117&lt;0.005,0,AG117-AH117)</f>
        <v>0</v>
      </c>
      <c r="AJ117" s="27" t="n">
        <f aca="false">G117+K117+O117+S117+W117+AA117+AE117+AI117</f>
        <v>0</v>
      </c>
      <c r="AK117" s="28" t="n">
        <f aca="false">IF(E117&gt;0,E117-N(G116),0)+IF(I117&gt;0,I117-N(K116),0)+IF(M117&gt;0,M117-N(O116),0)+IF(Q117&gt;0,Q117-N(S116),0)+IF(U117&gt;0,U117-N(W116),0)+IF(Y117&gt;0,Y117-N(AA116),0)+IF(AC117&gt;0,AC117-N(AE116),0)+IF(AG117&gt;0,AG117-N(AI116),0)</f>
        <v>0</v>
      </c>
    </row>
    <row r="118" customFormat="false" ht="15" hidden="false" customHeight="false" outlineLevel="0" collapsed="false">
      <c r="A118" s="25" t="n">
        <v>113</v>
      </c>
      <c r="B118" s="26" t="n">
        <f aca="false">EDATE('Min gæld'!$C$16,112)</f>
        <v>49796</v>
      </c>
      <c r="C118" s="27" t="n">
        <f aca="false">N('Min gæld'!$C$15)+IF(N(G117)&lt;=0.005,N('Min gæld'!$E$5),0)+IF(N(K117)&lt;=0.005,N('Min gæld'!$E$6),0)+IF(N(O117)&lt;=0.005,N('Min gæld'!$E$7),0)+IF(N(S117)&lt;=0.005,N('Min gæld'!$E$8),0)+IF(N(W117)&lt;=0.005,N('Min gæld'!$E$9),0)+IF(N(AA117)&lt;=0.005,N('Min gæld'!$E$10),0)+IF(N(AE117)&lt;=0.005,N('Min gæld'!$E$11),0)+IF(N(AI117)&lt;=0.005,N('Min gæld'!$E$12),0)</f>
        <v>4800</v>
      </c>
      <c r="D118" s="27" t="n">
        <f aca="false">MAX(0,C118)</f>
        <v>4800</v>
      </c>
      <c r="E118" s="27" t="n">
        <f aca="false">IF(N(G117)&lt;=0.005,0,N(G117)*(1+N('Min gæld'!$D$5)/12))</f>
        <v>0</v>
      </c>
      <c r="F118" s="27" t="n">
        <f aca="false">IF(E118&lt;=0,0,MIN(E118,N('Min gæld'!$E$5)+D118))</f>
        <v>0</v>
      </c>
      <c r="G118" s="27" t="n">
        <f aca="false">IF(E118-F118&lt;0.005,0,E118-F118)</f>
        <v>0</v>
      </c>
      <c r="H118" s="27" t="n">
        <f aca="false">MAX(0,IF(N(G117)&lt;=0.005,D118,D118+N('Min gæld'!$E$5)-F118))</f>
        <v>4800</v>
      </c>
      <c r="I118" s="27" t="n">
        <f aca="false">IF(N(K117)&lt;=0.005,0,N(K117)*(1+N('Min gæld'!$D$6)/12))</f>
        <v>0</v>
      </c>
      <c r="J118" s="27" t="n">
        <f aca="false">IF(I118&lt;=0,0,MIN(I118,N('Min gæld'!$E$6)+H118))</f>
        <v>0</v>
      </c>
      <c r="K118" s="27" t="n">
        <f aca="false">IF(I118-J118&lt;0.005,0,I118-J118)</f>
        <v>0</v>
      </c>
      <c r="L118" s="27" t="n">
        <f aca="false">MAX(0,IF(N(K117)&lt;=0.005,H118,H118+N('Min gæld'!$E$6)-J118))</f>
        <v>4800</v>
      </c>
      <c r="M118" s="27" t="n">
        <f aca="false">IF(N(O117)&lt;=0.005,0,N(O117)*(1+N('Min gæld'!$D$7)/12))</f>
        <v>0</v>
      </c>
      <c r="N118" s="27" t="n">
        <f aca="false">IF(M118&lt;=0,0,MIN(M118,N('Min gæld'!$E$7)+L118))</f>
        <v>0</v>
      </c>
      <c r="O118" s="27" t="n">
        <f aca="false">IF(M118-N118&lt;0.005,0,M118-N118)</f>
        <v>0</v>
      </c>
      <c r="P118" s="27" t="n">
        <f aca="false">MAX(0,IF(N(O117)&lt;=0.005,L118,L118+N('Min gæld'!$E$7)-N118))</f>
        <v>4800</v>
      </c>
      <c r="Q118" s="27" t="n">
        <f aca="false">IF(N(S117)&lt;=0.005,0,N(S117)*(1+N('Min gæld'!$D$8)/12))</f>
        <v>0</v>
      </c>
      <c r="R118" s="27" t="n">
        <f aca="false">IF(Q118&lt;=0,0,MIN(Q118,N('Min gæld'!$E$8)+P118))</f>
        <v>0</v>
      </c>
      <c r="S118" s="27" t="n">
        <f aca="false">IF(Q118-R118&lt;0.005,0,Q118-R118)</f>
        <v>0</v>
      </c>
      <c r="T118" s="27" t="n">
        <f aca="false">MAX(0,IF(N(S117)&lt;=0.005,P118,P118+N('Min gæld'!$E$8)-R118))</f>
        <v>4800</v>
      </c>
      <c r="U118" s="27" t="n">
        <f aca="false">IF(N(W117)&lt;=0.005,0,N(W117)*(1+N('Min gæld'!$D$9)/12))</f>
        <v>0</v>
      </c>
      <c r="V118" s="27" t="n">
        <f aca="false">IF(U118&lt;=0,0,MIN(U118,N('Min gæld'!$E$9)+T118))</f>
        <v>0</v>
      </c>
      <c r="W118" s="27" t="n">
        <f aca="false">IF(U118-V118&lt;0.005,0,U118-V118)</f>
        <v>0</v>
      </c>
      <c r="X118" s="27" t="n">
        <f aca="false">MAX(0,IF(N(W117)&lt;=0.005,T118,T118+N('Min gæld'!$E$9)-V118))</f>
        <v>4800</v>
      </c>
      <c r="Y118" s="27" t="n">
        <f aca="false">IF(N(AA117)&lt;=0.005,0,N(AA117)*(1+N('Min gæld'!$D$10)/12))</f>
        <v>0</v>
      </c>
      <c r="Z118" s="27" t="n">
        <f aca="false">IF(Y118&lt;=0,0,MIN(Y118,N('Min gæld'!$E$10)+X118))</f>
        <v>0</v>
      </c>
      <c r="AA118" s="27" t="n">
        <f aca="false">IF(Y118-Z118&lt;0.005,0,Y118-Z118)</f>
        <v>0</v>
      </c>
      <c r="AB118" s="27" t="n">
        <f aca="false">MAX(0,IF(N(AA117)&lt;=0.005,X118,X118+N('Min gæld'!$E$10)-Z118))</f>
        <v>4800</v>
      </c>
      <c r="AC118" s="27" t="n">
        <f aca="false">IF(N(AE117)&lt;=0.005,0,N(AE117)*(1+N('Min gæld'!$D$11)/12))</f>
        <v>0</v>
      </c>
      <c r="AD118" s="27" t="n">
        <f aca="false">IF(AC118&lt;=0,0,MIN(AC118,N('Min gæld'!$E$11)+AB118))</f>
        <v>0</v>
      </c>
      <c r="AE118" s="27" t="n">
        <f aca="false">IF(AC118-AD118&lt;0.005,0,AC118-AD118)</f>
        <v>0</v>
      </c>
      <c r="AF118" s="27" t="n">
        <f aca="false">MAX(0,IF(N(AE117)&lt;=0.005,AB118,AB118+N('Min gæld'!$E$11)-AD118))</f>
        <v>4800</v>
      </c>
      <c r="AG118" s="27" t="n">
        <f aca="false">IF(N(AI117)&lt;=0.005,0,N(AI117)*(1+N('Min gæld'!$D$12)/12))</f>
        <v>0</v>
      </c>
      <c r="AH118" s="27" t="n">
        <f aca="false">IF(AG118&lt;=0,0,MIN(AG118,N('Min gæld'!$E$12)+AF118))</f>
        <v>0</v>
      </c>
      <c r="AI118" s="27" t="n">
        <f aca="false">IF(AG118-AH118&lt;0.005,0,AG118-AH118)</f>
        <v>0</v>
      </c>
      <c r="AJ118" s="27" t="n">
        <f aca="false">G118+K118+O118+S118+W118+AA118+AE118+AI118</f>
        <v>0</v>
      </c>
      <c r="AK118" s="28" t="n">
        <f aca="false">IF(E118&gt;0,E118-N(G117),0)+IF(I118&gt;0,I118-N(K117),0)+IF(M118&gt;0,M118-N(O117),0)+IF(Q118&gt;0,Q118-N(S117),0)+IF(U118&gt;0,U118-N(W117),0)+IF(Y118&gt;0,Y118-N(AA117),0)+IF(AC118&gt;0,AC118-N(AE117),0)+IF(AG118&gt;0,AG118-N(AI117),0)</f>
        <v>0</v>
      </c>
    </row>
    <row r="119" customFormat="false" ht="15" hidden="false" customHeight="false" outlineLevel="0" collapsed="false">
      <c r="A119" s="25" t="n">
        <v>114</v>
      </c>
      <c r="B119" s="26" t="n">
        <f aca="false">EDATE('Min gæld'!$C$16,113)</f>
        <v>49827</v>
      </c>
      <c r="C119" s="27" t="n">
        <f aca="false">N('Min gæld'!$C$15)+IF(N(G118)&lt;=0.005,N('Min gæld'!$E$5),0)+IF(N(K118)&lt;=0.005,N('Min gæld'!$E$6),0)+IF(N(O118)&lt;=0.005,N('Min gæld'!$E$7),0)+IF(N(S118)&lt;=0.005,N('Min gæld'!$E$8),0)+IF(N(W118)&lt;=0.005,N('Min gæld'!$E$9),0)+IF(N(AA118)&lt;=0.005,N('Min gæld'!$E$10),0)+IF(N(AE118)&lt;=0.005,N('Min gæld'!$E$11),0)+IF(N(AI118)&lt;=0.005,N('Min gæld'!$E$12),0)</f>
        <v>4800</v>
      </c>
      <c r="D119" s="27" t="n">
        <f aca="false">MAX(0,C119)</f>
        <v>4800</v>
      </c>
      <c r="E119" s="27" t="n">
        <f aca="false">IF(N(G118)&lt;=0.005,0,N(G118)*(1+N('Min gæld'!$D$5)/12))</f>
        <v>0</v>
      </c>
      <c r="F119" s="27" t="n">
        <f aca="false">IF(E119&lt;=0,0,MIN(E119,N('Min gæld'!$E$5)+D119))</f>
        <v>0</v>
      </c>
      <c r="G119" s="27" t="n">
        <f aca="false">IF(E119-F119&lt;0.005,0,E119-F119)</f>
        <v>0</v>
      </c>
      <c r="H119" s="27" t="n">
        <f aca="false">MAX(0,IF(N(G118)&lt;=0.005,D119,D119+N('Min gæld'!$E$5)-F119))</f>
        <v>4800</v>
      </c>
      <c r="I119" s="27" t="n">
        <f aca="false">IF(N(K118)&lt;=0.005,0,N(K118)*(1+N('Min gæld'!$D$6)/12))</f>
        <v>0</v>
      </c>
      <c r="J119" s="27" t="n">
        <f aca="false">IF(I119&lt;=0,0,MIN(I119,N('Min gæld'!$E$6)+H119))</f>
        <v>0</v>
      </c>
      <c r="K119" s="27" t="n">
        <f aca="false">IF(I119-J119&lt;0.005,0,I119-J119)</f>
        <v>0</v>
      </c>
      <c r="L119" s="27" t="n">
        <f aca="false">MAX(0,IF(N(K118)&lt;=0.005,H119,H119+N('Min gæld'!$E$6)-J119))</f>
        <v>4800</v>
      </c>
      <c r="M119" s="27" t="n">
        <f aca="false">IF(N(O118)&lt;=0.005,0,N(O118)*(1+N('Min gæld'!$D$7)/12))</f>
        <v>0</v>
      </c>
      <c r="N119" s="27" t="n">
        <f aca="false">IF(M119&lt;=0,0,MIN(M119,N('Min gæld'!$E$7)+L119))</f>
        <v>0</v>
      </c>
      <c r="O119" s="27" t="n">
        <f aca="false">IF(M119-N119&lt;0.005,0,M119-N119)</f>
        <v>0</v>
      </c>
      <c r="P119" s="27" t="n">
        <f aca="false">MAX(0,IF(N(O118)&lt;=0.005,L119,L119+N('Min gæld'!$E$7)-N119))</f>
        <v>4800</v>
      </c>
      <c r="Q119" s="27" t="n">
        <f aca="false">IF(N(S118)&lt;=0.005,0,N(S118)*(1+N('Min gæld'!$D$8)/12))</f>
        <v>0</v>
      </c>
      <c r="R119" s="27" t="n">
        <f aca="false">IF(Q119&lt;=0,0,MIN(Q119,N('Min gæld'!$E$8)+P119))</f>
        <v>0</v>
      </c>
      <c r="S119" s="27" t="n">
        <f aca="false">IF(Q119-R119&lt;0.005,0,Q119-R119)</f>
        <v>0</v>
      </c>
      <c r="T119" s="27" t="n">
        <f aca="false">MAX(0,IF(N(S118)&lt;=0.005,P119,P119+N('Min gæld'!$E$8)-R119))</f>
        <v>4800</v>
      </c>
      <c r="U119" s="27" t="n">
        <f aca="false">IF(N(W118)&lt;=0.005,0,N(W118)*(1+N('Min gæld'!$D$9)/12))</f>
        <v>0</v>
      </c>
      <c r="V119" s="27" t="n">
        <f aca="false">IF(U119&lt;=0,0,MIN(U119,N('Min gæld'!$E$9)+T119))</f>
        <v>0</v>
      </c>
      <c r="W119" s="27" t="n">
        <f aca="false">IF(U119-V119&lt;0.005,0,U119-V119)</f>
        <v>0</v>
      </c>
      <c r="X119" s="27" t="n">
        <f aca="false">MAX(0,IF(N(W118)&lt;=0.005,T119,T119+N('Min gæld'!$E$9)-V119))</f>
        <v>4800</v>
      </c>
      <c r="Y119" s="27" t="n">
        <f aca="false">IF(N(AA118)&lt;=0.005,0,N(AA118)*(1+N('Min gæld'!$D$10)/12))</f>
        <v>0</v>
      </c>
      <c r="Z119" s="27" t="n">
        <f aca="false">IF(Y119&lt;=0,0,MIN(Y119,N('Min gæld'!$E$10)+X119))</f>
        <v>0</v>
      </c>
      <c r="AA119" s="27" t="n">
        <f aca="false">IF(Y119-Z119&lt;0.005,0,Y119-Z119)</f>
        <v>0</v>
      </c>
      <c r="AB119" s="27" t="n">
        <f aca="false">MAX(0,IF(N(AA118)&lt;=0.005,X119,X119+N('Min gæld'!$E$10)-Z119))</f>
        <v>4800</v>
      </c>
      <c r="AC119" s="27" t="n">
        <f aca="false">IF(N(AE118)&lt;=0.005,0,N(AE118)*(1+N('Min gæld'!$D$11)/12))</f>
        <v>0</v>
      </c>
      <c r="AD119" s="27" t="n">
        <f aca="false">IF(AC119&lt;=0,0,MIN(AC119,N('Min gæld'!$E$11)+AB119))</f>
        <v>0</v>
      </c>
      <c r="AE119" s="27" t="n">
        <f aca="false">IF(AC119-AD119&lt;0.005,0,AC119-AD119)</f>
        <v>0</v>
      </c>
      <c r="AF119" s="27" t="n">
        <f aca="false">MAX(0,IF(N(AE118)&lt;=0.005,AB119,AB119+N('Min gæld'!$E$11)-AD119))</f>
        <v>4800</v>
      </c>
      <c r="AG119" s="27" t="n">
        <f aca="false">IF(N(AI118)&lt;=0.005,0,N(AI118)*(1+N('Min gæld'!$D$12)/12))</f>
        <v>0</v>
      </c>
      <c r="AH119" s="27" t="n">
        <f aca="false">IF(AG119&lt;=0,0,MIN(AG119,N('Min gæld'!$E$12)+AF119))</f>
        <v>0</v>
      </c>
      <c r="AI119" s="27" t="n">
        <f aca="false">IF(AG119-AH119&lt;0.005,0,AG119-AH119)</f>
        <v>0</v>
      </c>
      <c r="AJ119" s="27" t="n">
        <f aca="false">G119+K119+O119+S119+W119+AA119+AE119+AI119</f>
        <v>0</v>
      </c>
      <c r="AK119" s="28" t="n">
        <f aca="false">IF(E119&gt;0,E119-N(G118),0)+IF(I119&gt;0,I119-N(K118),0)+IF(M119&gt;0,M119-N(O118),0)+IF(Q119&gt;0,Q119-N(S118),0)+IF(U119&gt;0,U119-N(W118),0)+IF(Y119&gt;0,Y119-N(AA118),0)+IF(AC119&gt;0,AC119-N(AE118),0)+IF(AG119&gt;0,AG119-N(AI118),0)</f>
        <v>0</v>
      </c>
    </row>
    <row r="120" customFormat="false" ht="15" hidden="false" customHeight="false" outlineLevel="0" collapsed="false">
      <c r="A120" s="25" t="n">
        <v>115</v>
      </c>
      <c r="B120" s="26" t="n">
        <f aca="false">EDATE('Min gæld'!$C$16,114)</f>
        <v>49857</v>
      </c>
      <c r="C120" s="27" t="n">
        <f aca="false">N('Min gæld'!$C$15)+IF(N(G119)&lt;=0.005,N('Min gæld'!$E$5),0)+IF(N(K119)&lt;=0.005,N('Min gæld'!$E$6),0)+IF(N(O119)&lt;=0.005,N('Min gæld'!$E$7),0)+IF(N(S119)&lt;=0.005,N('Min gæld'!$E$8),0)+IF(N(W119)&lt;=0.005,N('Min gæld'!$E$9),0)+IF(N(AA119)&lt;=0.005,N('Min gæld'!$E$10),0)+IF(N(AE119)&lt;=0.005,N('Min gæld'!$E$11),0)+IF(N(AI119)&lt;=0.005,N('Min gæld'!$E$12),0)</f>
        <v>4800</v>
      </c>
      <c r="D120" s="27" t="n">
        <f aca="false">MAX(0,C120)</f>
        <v>4800</v>
      </c>
      <c r="E120" s="27" t="n">
        <f aca="false">IF(N(G119)&lt;=0.005,0,N(G119)*(1+N('Min gæld'!$D$5)/12))</f>
        <v>0</v>
      </c>
      <c r="F120" s="27" t="n">
        <f aca="false">IF(E120&lt;=0,0,MIN(E120,N('Min gæld'!$E$5)+D120))</f>
        <v>0</v>
      </c>
      <c r="G120" s="27" t="n">
        <f aca="false">IF(E120-F120&lt;0.005,0,E120-F120)</f>
        <v>0</v>
      </c>
      <c r="H120" s="27" t="n">
        <f aca="false">MAX(0,IF(N(G119)&lt;=0.005,D120,D120+N('Min gæld'!$E$5)-F120))</f>
        <v>4800</v>
      </c>
      <c r="I120" s="27" t="n">
        <f aca="false">IF(N(K119)&lt;=0.005,0,N(K119)*(1+N('Min gæld'!$D$6)/12))</f>
        <v>0</v>
      </c>
      <c r="J120" s="27" t="n">
        <f aca="false">IF(I120&lt;=0,0,MIN(I120,N('Min gæld'!$E$6)+H120))</f>
        <v>0</v>
      </c>
      <c r="K120" s="27" t="n">
        <f aca="false">IF(I120-J120&lt;0.005,0,I120-J120)</f>
        <v>0</v>
      </c>
      <c r="L120" s="27" t="n">
        <f aca="false">MAX(0,IF(N(K119)&lt;=0.005,H120,H120+N('Min gæld'!$E$6)-J120))</f>
        <v>4800</v>
      </c>
      <c r="M120" s="27" t="n">
        <f aca="false">IF(N(O119)&lt;=0.005,0,N(O119)*(1+N('Min gæld'!$D$7)/12))</f>
        <v>0</v>
      </c>
      <c r="N120" s="27" t="n">
        <f aca="false">IF(M120&lt;=0,0,MIN(M120,N('Min gæld'!$E$7)+L120))</f>
        <v>0</v>
      </c>
      <c r="O120" s="27" t="n">
        <f aca="false">IF(M120-N120&lt;0.005,0,M120-N120)</f>
        <v>0</v>
      </c>
      <c r="P120" s="27" t="n">
        <f aca="false">MAX(0,IF(N(O119)&lt;=0.005,L120,L120+N('Min gæld'!$E$7)-N120))</f>
        <v>4800</v>
      </c>
      <c r="Q120" s="27" t="n">
        <f aca="false">IF(N(S119)&lt;=0.005,0,N(S119)*(1+N('Min gæld'!$D$8)/12))</f>
        <v>0</v>
      </c>
      <c r="R120" s="27" t="n">
        <f aca="false">IF(Q120&lt;=0,0,MIN(Q120,N('Min gæld'!$E$8)+P120))</f>
        <v>0</v>
      </c>
      <c r="S120" s="27" t="n">
        <f aca="false">IF(Q120-R120&lt;0.005,0,Q120-R120)</f>
        <v>0</v>
      </c>
      <c r="T120" s="27" t="n">
        <f aca="false">MAX(0,IF(N(S119)&lt;=0.005,P120,P120+N('Min gæld'!$E$8)-R120))</f>
        <v>4800</v>
      </c>
      <c r="U120" s="27" t="n">
        <f aca="false">IF(N(W119)&lt;=0.005,0,N(W119)*(1+N('Min gæld'!$D$9)/12))</f>
        <v>0</v>
      </c>
      <c r="V120" s="27" t="n">
        <f aca="false">IF(U120&lt;=0,0,MIN(U120,N('Min gæld'!$E$9)+T120))</f>
        <v>0</v>
      </c>
      <c r="W120" s="27" t="n">
        <f aca="false">IF(U120-V120&lt;0.005,0,U120-V120)</f>
        <v>0</v>
      </c>
      <c r="X120" s="27" t="n">
        <f aca="false">MAX(0,IF(N(W119)&lt;=0.005,T120,T120+N('Min gæld'!$E$9)-V120))</f>
        <v>4800</v>
      </c>
      <c r="Y120" s="27" t="n">
        <f aca="false">IF(N(AA119)&lt;=0.005,0,N(AA119)*(1+N('Min gæld'!$D$10)/12))</f>
        <v>0</v>
      </c>
      <c r="Z120" s="27" t="n">
        <f aca="false">IF(Y120&lt;=0,0,MIN(Y120,N('Min gæld'!$E$10)+X120))</f>
        <v>0</v>
      </c>
      <c r="AA120" s="27" t="n">
        <f aca="false">IF(Y120-Z120&lt;0.005,0,Y120-Z120)</f>
        <v>0</v>
      </c>
      <c r="AB120" s="27" t="n">
        <f aca="false">MAX(0,IF(N(AA119)&lt;=0.005,X120,X120+N('Min gæld'!$E$10)-Z120))</f>
        <v>4800</v>
      </c>
      <c r="AC120" s="27" t="n">
        <f aca="false">IF(N(AE119)&lt;=0.005,0,N(AE119)*(1+N('Min gæld'!$D$11)/12))</f>
        <v>0</v>
      </c>
      <c r="AD120" s="27" t="n">
        <f aca="false">IF(AC120&lt;=0,0,MIN(AC120,N('Min gæld'!$E$11)+AB120))</f>
        <v>0</v>
      </c>
      <c r="AE120" s="27" t="n">
        <f aca="false">IF(AC120-AD120&lt;0.005,0,AC120-AD120)</f>
        <v>0</v>
      </c>
      <c r="AF120" s="27" t="n">
        <f aca="false">MAX(0,IF(N(AE119)&lt;=0.005,AB120,AB120+N('Min gæld'!$E$11)-AD120))</f>
        <v>4800</v>
      </c>
      <c r="AG120" s="27" t="n">
        <f aca="false">IF(N(AI119)&lt;=0.005,0,N(AI119)*(1+N('Min gæld'!$D$12)/12))</f>
        <v>0</v>
      </c>
      <c r="AH120" s="27" t="n">
        <f aca="false">IF(AG120&lt;=0,0,MIN(AG120,N('Min gæld'!$E$12)+AF120))</f>
        <v>0</v>
      </c>
      <c r="AI120" s="27" t="n">
        <f aca="false">IF(AG120-AH120&lt;0.005,0,AG120-AH120)</f>
        <v>0</v>
      </c>
      <c r="AJ120" s="27" t="n">
        <f aca="false">G120+K120+O120+S120+W120+AA120+AE120+AI120</f>
        <v>0</v>
      </c>
      <c r="AK120" s="28" t="n">
        <f aca="false">IF(E120&gt;0,E120-N(G119),0)+IF(I120&gt;0,I120-N(K119),0)+IF(M120&gt;0,M120-N(O119),0)+IF(Q120&gt;0,Q120-N(S119),0)+IF(U120&gt;0,U120-N(W119),0)+IF(Y120&gt;0,Y120-N(AA119),0)+IF(AC120&gt;0,AC120-N(AE119),0)+IF(AG120&gt;0,AG120-N(AI119),0)</f>
        <v>0</v>
      </c>
    </row>
    <row r="121" customFormat="false" ht="15" hidden="false" customHeight="false" outlineLevel="0" collapsed="false">
      <c r="A121" s="25" t="n">
        <v>116</v>
      </c>
      <c r="B121" s="26" t="n">
        <f aca="false">EDATE('Min gæld'!$C$16,115)</f>
        <v>49888</v>
      </c>
      <c r="C121" s="27" t="n">
        <f aca="false">N('Min gæld'!$C$15)+IF(N(G120)&lt;=0.005,N('Min gæld'!$E$5),0)+IF(N(K120)&lt;=0.005,N('Min gæld'!$E$6),0)+IF(N(O120)&lt;=0.005,N('Min gæld'!$E$7),0)+IF(N(S120)&lt;=0.005,N('Min gæld'!$E$8),0)+IF(N(W120)&lt;=0.005,N('Min gæld'!$E$9),0)+IF(N(AA120)&lt;=0.005,N('Min gæld'!$E$10),0)+IF(N(AE120)&lt;=0.005,N('Min gæld'!$E$11),0)+IF(N(AI120)&lt;=0.005,N('Min gæld'!$E$12),0)</f>
        <v>4800</v>
      </c>
      <c r="D121" s="27" t="n">
        <f aca="false">MAX(0,C121)</f>
        <v>4800</v>
      </c>
      <c r="E121" s="27" t="n">
        <f aca="false">IF(N(G120)&lt;=0.005,0,N(G120)*(1+N('Min gæld'!$D$5)/12))</f>
        <v>0</v>
      </c>
      <c r="F121" s="27" t="n">
        <f aca="false">IF(E121&lt;=0,0,MIN(E121,N('Min gæld'!$E$5)+D121))</f>
        <v>0</v>
      </c>
      <c r="G121" s="27" t="n">
        <f aca="false">IF(E121-F121&lt;0.005,0,E121-F121)</f>
        <v>0</v>
      </c>
      <c r="H121" s="27" t="n">
        <f aca="false">MAX(0,IF(N(G120)&lt;=0.005,D121,D121+N('Min gæld'!$E$5)-F121))</f>
        <v>4800</v>
      </c>
      <c r="I121" s="27" t="n">
        <f aca="false">IF(N(K120)&lt;=0.005,0,N(K120)*(1+N('Min gæld'!$D$6)/12))</f>
        <v>0</v>
      </c>
      <c r="J121" s="27" t="n">
        <f aca="false">IF(I121&lt;=0,0,MIN(I121,N('Min gæld'!$E$6)+H121))</f>
        <v>0</v>
      </c>
      <c r="K121" s="27" t="n">
        <f aca="false">IF(I121-J121&lt;0.005,0,I121-J121)</f>
        <v>0</v>
      </c>
      <c r="L121" s="27" t="n">
        <f aca="false">MAX(0,IF(N(K120)&lt;=0.005,H121,H121+N('Min gæld'!$E$6)-J121))</f>
        <v>4800</v>
      </c>
      <c r="M121" s="27" t="n">
        <f aca="false">IF(N(O120)&lt;=0.005,0,N(O120)*(1+N('Min gæld'!$D$7)/12))</f>
        <v>0</v>
      </c>
      <c r="N121" s="27" t="n">
        <f aca="false">IF(M121&lt;=0,0,MIN(M121,N('Min gæld'!$E$7)+L121))</f>
        <v>0</v>
      </c>
      <c r="O121" s="27" t="n">
        <f aca="false">IF(M121-N121&lt;0.005,0,M121-N121)</f>
        <v>0</v>
      </c>
      <c r="P121" s="27" t="n">
        <f aca="false">MAX(0,IF(N(O120)&lt;=0.005,L121,L121+N('Min gæld'!$E$7)-N121))</f>
        <v>4800</v>
      </c>
      <c r="Q121" s="27" t="n">
        <f aca="false">IF(N(S120)&lt;=0.005,0,N(S120)*(1+N('Min gæld'!$D$8)/12))</f>
        <v>0</v>
      </c>
      <c r="R121" s="27" t="n">
        <f aca="false">IF(Q121&lt;=0,0,MIN(Q121,N('Min gæld'!$E$8)+P121))</f>
        <v>0</v>
      </c>
      <c r="S121" s="27" t="n">
        <f aca="false">IF(Q121-R121&lt;0.005,0,Q121-R121)</f>
        <v>0</v>
      </c>
      <c r="T121" s="27" t="n">
        <f aca="false">MAX(0,IF(N(S120)&lt;=0.005,P121,P121+N('Min gæld'!$E$8)-R121))</f>
        <v>4800</v>
      </c>
      <c r="U121" s="27" t="n">
        <f aca="false">IF(N(W120)&lt;=0.005,0,N(W120)*(1+N('Min gæld'!$D$9)/12))</f>
        <v>0</v>
      </c>
      <c r="V121" s="27" t="n">
        <f aca="false">IF(U121&lt;=0,0,MIN(U121,N('Min gæld'!$E$9)+T121))</f>
        <v>0</v>
      </c>
      <c r="W121" s="27" t="n">
        <f aca="false">IF(U121-V121&lt;0.005,0,U121-V121)</f>
        <v>0</v>
      </c>
      <c r="X121" s="27" t="n">
        <f aca="false">MAX(0,IF(N(W120)&lt;=0.005,T121,T121+N('Min gæld'!$E$9)-V121))</f>
        <v>4800</v>
      </c>
      <c r="Y121" s="27" t="n">
        <f aca="false">IF(N(AA120)&lt;=0.005,0,N(AA120)*(1+N('Min gæld'!$D$10)/12))</f>
        <v>0</v>
      </c>
      <c r="Z121" s="27" t="n">
        <f aca="false">IF(Y121&lt;=0,0,MIN(Y121,N('Min gæld'!$E$10)+X121))</f>
        <v>0</v>
      </c>
      <c r="AA121" s="27" t="n">
        <f aca="false">IF(Y121-Z121&lt;0.005,0,Y121-Z121)</f>
        <v>0</v>
      </c>
      <c r="AB121" s="27" t="n">
        <f aca="false">MAX(0,IF(N(AA120)&lt;=0.005,X121,X121+N('Min gæld'!$E$10)-Z121))</f>
        <v>4800</v>
      </c>
      <c r="AC121" s="27" t="n">
        <f aca="false">IF(N(AE120)&lt;=0.005,0,N(AE120)*(1+N('Min gæld'!$D$11)/12))</f>
        <v>0</v>
      </c>
      <c r="AD121" s="27" t="n">
        <f aca="false">IF(AC121&lt;=0,0,MIN(AC121,N('Min gæld'!$E$11)+AB121))</f>
        <v>0</v>
      </c>
      <c r="AE121" s="27" t="n">
        <f aca="false">IF(AC121-AD121&lt;0.005,0,AC121-AD121)</f>
        <v>0</v>
      </c>
      <c r="AF121" s="27" t="n">
        <f aca="false">MAX(0,IF(N(AE120)&lt;=0.005,AB121,AB121+N('Min gæld'!$E$11)-AD121))</f>
        <v>4800</v>
      </c>
      <c r="AG121" s="27" t="n">
        <f aca="false">IF(N(AI120)&lt;=0.005,0,N(AI120)*(1+N('Min gæld'!$D$12)/12))</f>
        <v>0</v>
      </c>
      <c r="AH121" s="27" t="n">
        <f aca="false">IF(AG121&lt;=0,0,MIN(AG121,N('Min gæld'!$E$12)+AF121))</f>
        <v>0</v>
      </c>
      <c r="AI121" s="27" t="n">
        <f aca="false">IF(AG121-AH121&lt;0.005,0,AG121-AH121)</f>
        <v>0</v>
      </c>
      <c r="AJ121" s="27" t="n">
        <f aca="false">G121+K121+O121+S121+W121+AA121+AE121+AI121</f>
        <v>0</v>
      </c>
      <c r="AK121" s="28" t="n">
        <f aca="false">IF(E121&gt;0,E121-N(G120),0)+IF(I121&gt;0,I121-N(K120),0)+IF(M121&gt;0,M121-N(O120),0)+IF(Q121&gt;0,Q121-N(S120),0)+IF(U121&gt;0,U121-N(W120),0)+IF(Y121&gt;0,Y121-N(AA120),0)+IF(AC121&gt;0,AC121-N(AE120),0)+IF(AG121&gt;0,AG121-N(AI120),0)</f>
        <v>0</v>
      </c>
    </row>
    <row r="122" customFormat="false" ht="15" hidden="false" customHeight="false" outlineLevel="0" collapsed="false">
      <c r="A122" s="25" t="n">
        <v>117</v>
      </c>
      <c r="B122" s="26" t="n">
        <f aca="false">EDATE('Min gæld'!$C$16,116)</f>
        <v>49919</v>
      </c>
      <c r="C122" s="27" t="n">
        <f aca="false">N('Min gæld'!$C$15)+IF(N(G121)&lt;=0.005,N('Min gæld'!$E$5),0)+IF(N(K121)&lt;=0.005,N('Min gæld'!$E$6),0)+IF(N(O121)&lt;=0.005,N('Min gæld'!$E$7),0)+IF(N(S121)&lt;=0.005,N('Min gæld'!$E$8),0)+IF(N(W121)&lt;=0.005,N('Min gæld'!$E$9),0)+IF(N(AA121)&lt;=0.005,N('Min gæld'!$E$10),0)+IF(N(AE121)&lt;=0.005,N('Min gæld'!$E$11),0)+IF(N(AI121)&lt;=0.005,N('Min gæld'!$E$12),0)</f>
        <v>4800</v>
      </c>
      <c r="D122" s="27" t="n">
        <f aca="false">MAX(0,C122)</f>
        <v>4800</v>
      </c>
      <c r="E122" s="27" t="n">
        <f aca="false">IF(N(G121)&lt;=0.005,0,N(G121)*(1+N('Min gæld'!$D$5)/12))</f>
        <v>0</v>
      </c>
      <c r="F122" s="27" t="n">
        <f aca="false">IF(E122&lt;=0,0,MIN(E122,N('Min gæld'!$E$5)+D122))</f>
        <v>0</v>
      </c>
      <c r="G122" s="27" t="n">
        <f aca="false">IF(E122-F122&lt;0.005,0,E122-F122)</f>
        <v>0</v>
      </c>
      <c r="H122" s="27" t="n">
        <f aca="false">MAX(0,IF(N(G121)&lt;=0.005,D122,D122+N('Min gæld'!$E$5)-F122))</f>
        <v>4800</v>
      </c>
      <c r="I122" s="27" t="n">
        <f aca="false">IF(N(K121)&lt;=0.005,0,N(K121)*(1+N('Min gæld'!$D$6)/12))</f>
        <v>0</v>
      </c>
      <c r="J122" s="27" t="n">
        <f aca="false">IF(I122&lt;=0,0,MIN(I122,N('Min gæld'!$E$6)+H122))</f>
        <v>0</v>
      </c>
      <c r="K122" s="27" t="n">
        <f aca="false">IF(I122-J122&lt;0.005,0,I122-J122)</f>
        <v>0</v>
      </c>
      <c r="L122" s="27" t="n">
        <f aca="false">MAX(0,IF(N(K121)&lt;=0.005,H122,H122+N('Min gæld'!$E$6)-J122))</f>
        <v>4800</v>
      </c>
      <c r="M122" s="27" t="n">
        <f aca="false">IF(N(O121)&lt;=0.005,0,N(O121)*(1+N('Min gæld'!$D$7)/12))</f>
        <v>0</v>
      </c>
      <c r="N122" s="27" t="n">
        <f aca="false">IF(M122&lt;=0,0,MIN(M122,N('Min gæld'!$E$7)+L122))</f>
        <v>0</v>
      </c>
      <c r="O122" s="27" t="n">
        <f aca="false">IF(M122-N122&lt;0.005,0,M122-N122)</f>
        <v>0</v>
      </c>
      <c r="P122" s="27" t="n">
        <f aca="false">MAX(0,IF(N(O121)&lt;=0.005,L122,L122+N('Min gæld'!$E$7)-N122))</f>
        <v>4800</v>
      </c>
      <c r="Q122" s="27" t="n">
        <f aca="false">IF(N(S121)&lt;=0.005,0,N(S121)*(1+N('Min gæld'!$D$8)/12))</f>
        <v>0</v>
      </c>
      <c r="R122" s="27" t="n">
        <f aca="false">IF(Q122&lt;=0,0,MIN(Q122,N('Min gæld'!$E$8)+P122))</f>
        <v>0</v>
      </c>
      <c r="S122" s="27" t="n">
        <f aca="false">IF(Q122-R122&lt;0.005,0,Q122-R122)</f>
        <v>0</v>
      </c>
      <c r="T122" s="27" t="n">
        <f aca="false">MAX(0,IF(N(S121)&lt;=0.005,P122,P122+N('Min gæld'!$E$8)-R122))</f>
        <v>4800</v>
      </c>
      <c r="U122" s="27" t="n">
        <f aca="false">IF(N(W121)&lt;=0.005,0,N(W121)*(1+N('Min gæld'!$D$9)/12))</f>
        <v>0</v>
      </c>
      <c r="V122" s="27" t="n">
        <f aca="false">IF(U122&lt;=0,0,MIN(U122,N('Min gæld'!$E$9)+T122))</f>
        <v>0</v>
      </c>
      <c r="W122" s="27" t="n">
        <f aca="false">IF(U122-V122&lt;0.005,0,U122-V122)</f>
        <v>0</v>
      </c>
      <c r="X122" s="27" t="n">
        <f aca="false">MAX(0,IF(N(W121)&lt;=0.005,T122,T122+N('Min gæld'!$E$9)-V122))</f>
        <v>4800</v>
      </c>
      <c r="Y122" s="27" t="n">
        <f aca="false">IF(N(AA121)&lt;=0.005,0,N(AA121)*(1+N('Min gæld'!$D$10)/12))</f>
        <v>0</v>
      </c>
      <c r="Z122" s="27" t="n">
        <f aca="false">IF(Y122&lt;=0,0,MIN(Y122,N('Min gæld'!$E$10)+X122))</f>
        <v>0</v>
      </c>
      <c r="AA122" s="27" t="n">
        <f aca="false">IF(Y122-Z122&lt;0.005,0,Y122-Z122)</f>
        <v>0</v>
      </c>
      <c r="AB122" s="27" t="n">
        <f aca="false">MAX(0,IF(N(AA121)&lt;=0.005,X122,X122+N('Min gæld'!$E$10)-Z122))</f>
        <v>4800</v>
      </c>
      <c r="AC122" s="27" t="n">
        <f aca="false">IF(N(AE121)&lt;=0.005,0,N(AE121)*(1+N('Min gæld'!$D$11)/12))</f>
        <v>0</v>
      </c>
      <c r="AD122" s="27" t="n">
        <f aca="false">IF(AC122&lt;=0,0,MIN(AC122,N('Min gæld'!$E$11)+AB122))</f>
        <v>0</v>
      </c>
      <c r="AE122" s="27" t="n">
        <f aca="false">IF(AC122-AD122&lt;0.005,0,AC122-AD122)</f>
        <v>0</v>
      </c>
      <c r="AF122" s="27" t="n">
        <f aca="false">MAX(0,IF(N(AE121)&lt;=0.005,AB122,AB122+N('Min gæld'!$E$11)-AD122))</f>
        <v>4800</v>
      </c>
      <c r="AG122" s="27" t="n">
        <f aca="false">IF(N(AI121)&lt;=0.005,0,N(AI121)*(1+N('Min gæld'!$D$12)/12))</f>
        <v>0</v>
      </c>
      <c r="AH122" s="27" t="n">
        <f aca="false">IF(AG122&lt;=0,0,MIN(AG122,N('Min gæld'!$E$12)+AF122))</f>
        <v>0</v>
      </c>
      <c r="AI122" s="27" t="n">
        <f aca="false">IF(AG122-AH122&lt;0.005,0,AG122-AH122)</f>
        <v>0</v>
      </c>
      <c r="AJ122" s="27" t="n">
        <f aca="false">G122+K122+O122+S122+W122+AA122+AE122+AI122</f>
        <v>0</v>
      </c>
      <c r="AK122" s="28" t="n">
        <f aca="false">IF(E122&gt;0,E122-N(G121),0)+IF(I122&gt;0,I122-N(K121),0)+IF(M122&gt;0,M122-N(O121),0)+IF(Q122&gt;0,Q122-N(S121),0)+IF(U122&gt;0,U122-N(W121),0)+IF(Y122&gt;0,Y122-N(AA121),0)+IF(AC122&gt;0,AC122-N(AE121),0)+IF(AG122&gt;0,AG122-N(AI121),0)</f>
        <v>0</v>
      </c>
    </row>
    <row r="123" customFormat="false" ht="15" hidden="false" customHeight="false" outlineLevel="0" collapsed="false">
      <c r="A123" s="25" t="n">
        <v>118</v>
      </c>
      <c r="B123" s="26" t="n">
        <f aca="false">EDATE('Min gæld'!$C$16,117)</f>
        <v>49949</v>
      </c>
      <c r="C123" s="27" t="n">
        <f aca="false">N('Min gæld'!$C$15)+IF(N(G122)&lt;=0.005,N('Min gæld'!$E$5),0)+IF(N(K122)&lt;=0.005,N('Min gæld'!$E$6),0)+IF(N(O122)&lt;=0.005,N('Min gæld'!$E$7),0)+IF(N(S122)&lt;=0.005,N('Min gæld'!$E$8),0)+IF(N(W122)&lt;=0.005,N('Min gæld'!$E$9),0)+IF(N(AA122)&lt;=0.005,N('Min gæld'!$E$10),0)+IF(N(AE122)&lt;=0.005,N('Min gæld'!$E$11),0)+IF(N(AI122)&lt;=0.005,N('Min gæld'!$E$12),0)</f>
        <v>4800</v>
      </c>
      <c r="D123" s="27" t="n">
        <f aca="false">MAX(0,C123)</f>
        <v>4800</v>
      </c>
      <c r="E123" s="27" t="n">
        <f aca="false">IF(N(G122)&lt;=0.005,0,N(G122)*(1+N('Min gæld'!$D$5)/12))</f>
        <v>0</v>
      </c>
      <c r="F123" s="27" t="n">
        <f aca="false">IF(E123&lt;=0,0,MIN(E123,N('Min gæld'!$E$5)+D123))</f>
        <v>0</v>
      </c>
      <c r="G123" s="27" t="n">
        <f aca="false">IF(E123-F123&lt;0.005,0,E123-F123)</f>
        <v>0</v>
      </c>
      <c r="H123" s="27" t="n">
        <f aca="false">MAX(0,IF(N(G122)&lt;=0.005,D123,D123+N('Min gæld'!$E$5)-F123))</f>
        <v>4800</v>
      </c>
      <c r="I123" s="27" t="n">
        <f aca="false">IF(N(K122)&lt;=0.005,0,N(K122)*(1+N('Min gæld'!$D$6)/12))</f>
        <v>0</v>
      </c>
      <c r="J123" s="27" t="n">
        <f aca="false">IF(I123&lt;=0,0,MIN(I123,N('Min gæld'!$E$6)+H123))</f>
        <v>0</v>
      </c>
      <c r="K123" s="27" t="n">
        <f aca="false">IF(I123-J123&lt;0.005,0,I123-J123)</f>
        <v>0</v>
      </c>
      <c r="L123" s="27" t="n">
        <f aca="false">MAX(0,IF(N(K122)&lt;=0.005,H123,H123+N('Min gæld'!$E$6)-J123))</f>
        <v>4800</v>
      </c>
      <c r="M123" s="27" t="n">
        <f aca="false">IF(N(O122)&lt;=0.005,0,N(O122)*(1+N('Min gæld'!$D$7)/12))</f>
        <v>0</v>
      </c>
      <c r="N123" s="27" t="n">
        <f aca="false">IF(M123&lt;=0,0,MIN(M123,N('Min gæld'!$E$7)+L123))</f>
        <v>0</v>
      </c>
      <c r="O123" s="27" t="n">
        <f aca="false">IF(M123-N123&lt;0.005,0,M123-N123)</f>
        <v>0</v>
      </c>
      <c r="P123" s="27" t="n">
        <f aca="false">MAX(0,IF(N(O122)&lt;=0.005,L123,L123+N('Min gæld'!$E$7)-N123))</f>
        <v>4800</v>
      </c>
      <c r="Q123" s="27" t="n">
        <f aca="false">IF(N(S122)&lt;=0.005,0,N(S122)*(1+N('Min gæld'!$D$8)/12))</f>
        <v>0</v>
      </c>
      <c r="R123" s="27" t="n">
        <f aca="false">IF(Q123&lt;=0,0,MIN(Q123,N('Min gæld'!$E$8)+P123))</f>
        <v>0</v>
      </c>
      <c r="S123" s="27" t="n">
        <f aca="false">IF(Q123-R123&lt;0.005,0,Q123-R123)</f>
        <v>0</v>
      </c>
      <c r="T123" s="27" t="n">
        <f aca="false">MAX(0,IF(N(S122)&lt;=0.005,P123,P123+N('Min gæld'!$E$8)-R123))</f>
        <v>4800</v>
      </c>
      <c r="U123" s="27" t="n">
        <f aca="false">IF(N(W122)&lt;=0.005,0,N(W122)*(1+N('Min gæld'!$D$9)/12))</f>
        <v>0</v>
      </c>
      <c r="V123" s="27" t="n">
        <f aca="false">IF(U123&lt;=0,0,MIN(U123,N('Min gæld'!$E$9)+T123))</f>
        <v>0</v>
      </c>
      <c r="W123" s="27" t="n">
        <f aca="false">IF(U123-V123&lt;0.005,0,U123-V123)</f>
        <v>0</v>
      </c>
      <c r="X123" s="27" t="n">
        <f aca="false">MAX(0,IF(N(W122)&lt;=0.005,T123,T123+N('Min gæld'!$E$9)-V123))</f>
        <v>4800</v>
      </c>
      <c r="Y123" s="27" t="n">
        <f aca="false">IF(N(AA122)&lt;=0.005,0,N(AA122)*(1+N('Min gæld'!$D$10)/12))</f>
        <v>0</v>
      </c>
      <c r="Z123" s="27" t="n">
        <f aca="false">IF(Y123&lt;=0,0,MIN(Y123,N('Min gæld'!$E$10)+X123))</f>
        <v>0</v>
      </c>
      <c r="AA123" s="27" t="n">
        <f aca="false">IF(Y123-Z123&lt;0.005,0,Y123-Z123)</f>
        <v>0</v>
      </c>
      <c r="AB123" s="27" t="n">
        <f aca="false">MAX(0,IF(N(AA122)&lt;=0.005,X123,X123+N('Min gæld'!$E$10)-Z123))</f>
        <v>4800</v>
      </c>
      <c r="AC123" s="27" t="n">
        <f aca="false">IF(N(AE122)&lt;=0.005,0,N(AE122)*(1+N('Min gæld'!$D$11)/12))</f>
        <v>0</v>
      </c>
      <c r="AD123" s="27" t="n">
        <f aca="false">IF(AC123&lt;=0,0,MIN(AC123,N('Min gæld'!$E$11)+AB123))</f>
        <v>0</v>
      </c>
      <c r="AE123" s="27" t="n">
        <f aca="false">IF(AC123-AD123&lt;0.005,0,AC123-AD123)</f>
        <v>0</v>
      </c>
      <c r="AF123" s="27" t="n">
        <f aca="false">MAX(0,IF(N(AE122)&lt;=0.005,AB123,AB123+N('Min gæld'!$E$11)-AD123))</f>
        <v>4800</v>
      </c>
      <c r="AG123" s="27" t="n">
        <f aca="false">IF(N(AI122)&lt;=0.005,0,N(AI122)*(1+N('Min gæld'!$D$12)/12))</f>
        <v>0</v>
      </c>
      <c r="AH123" s="27" t="n">
        <f aca="false">IF(AG123&lt;=0,0,MIN(AG123,N('Min gæld'!$E$12)+AF123))</f>
        <v>0</v>
      </c>
      <c r="AI123" s="27" t="n">
        <f aca="false">IF(AG123-AH123&lt;0.005,0,AG123-AH123)</f>
        <v>0</v>
      </c>
      <c r="AJ123" s="27" t="n">
        <f aca="false">G123+K123+O123+S123+W123+AA123+AE123+AI123</f>
        <v>0</v>
      </c>
      <c r="AK123" s="28" t="n">
        <f aca="false">IF(E123&gt;0,E123-N(G122),0)+IF(I123&gt;0,I123-N(K122),0)+IF(M123&gt;0,M123-N(O122),0)+IF(Q123&gt;0,Q123-N(S122),0)+IF(U123&gt;0,U123-N(W122),0)+IF(Y123&gt;0,Y123-N(AA122),0)+IF(AC123&gt;0,AC123-N(AE122),0)+IF(AG123&gt;0,AG123-N(AI122),0)</f>
        <v>0</v>
      </c>
    </row>
    <row r="124" customFormat="false" ht="15" hidden="false" customHeight="false" outlineLevel="0" collapsed="false">
      <c r="A124" s="25" t="n">
        <v>119</v>
      </c>
      <c r="B124" s="26" t="n">
        <f aca="false">EDATE('Min gæld'!$C$16,118)</f>
        <v>49980</v>
      </c>
      <c r="C124" s="27" t="n">
        <f aca="false">N('Min gæld'!$C$15)+IF(N(G123)&lt;=0.005,N('Min gæld'!$E$5),0)+IF(N(K123)&lt;=0.005,N('Min gæld'!$E$6),0)+IF(N(O123)&lt;=0.005,N('Min gæld'!$E$7),0)+IF(N(S123)&lt;=0.005,N('Min gæld'!$E$8),0)+IF(N(W123)&lt;=0.005,N('Min gæld'!$E$9),0)+IF(N(AA123)&lt;=0.005,N('Min gæld'!$E$10),0)+IF(N(AE123)&lt;=0.005,N('Min gæld'!$E$11),0)+IF(N(AI123)&lt;=0.005,N('Min gæld'!$E$12),0)</f>
        <v>4800</v>
      </c>
      <c r="D124" s="27" t="n">
        <f aca="false">MAX(0,C124)</f>
        <v>4800</v>
      </c>
      <c r="E124" s="27" t="n">
        <f aca="false">IF(N(G123)&lt;=0.005,0,N(G123)*(1+N('Min gæld'!$D$5)/12))</f>
        <v>0</v>
      </c>
      <c r="F124" s="27" t="n">
        <f aca="false">IF(E124&lt;=0,0,MIN(E124,N('Min gæld'!$E$5)+D124))</f>
        <v>0</v>
      </c>
      <c r="G124" s="27" t="n">
        <f aca="false">IF(E124-F124&lt;0.005,0,E124-F124)</f>
        <v>0</v>
      </c>
      <c r="H124" s="27" t="n">
        <f aca="false">MAX(0,IF(N(G123)&lt;=0.005,D124,D124+N('Min gæld'!$E$5)-F124))</f>
        <v>4800</v>
      </c>
      <c r="I124" s="27" t="n">
        <f aca="false">IF(N(K123)&lt;=0.005,0,N(K123)*(1+N('Min gæld'!$D$6)/12))</f>
        <v>0</v>
      </c>
      <c r="J124" s="27" t="n">
        <f aca="false">IF(I124&lt;=0,0,MIN(I124,N('Min gæld'!$E$6)+H124))</f>
        <v>0</v>
      </c>
      <c r="K124" s="27" t="n">
        <f aca="false">IF(I124-J124&lt;0.005,0,I124-J124)</f>
        <v>0</v>
      </c>
      <c r="L124" s="27" t="n">
        <f aca="false">MAX(0,IF(N(K123)&lt;=0.005,H124,H124+N('Min gæld'!$E$6)-J124))</f>
        <v>4800</v>
      </c>
      <c r="M124" s="27" t="n">
        <f aca="false">IF(N(O123)&lt;=0.005,0,N(O123)*(1+N('Min gæld'!$D$7)/12))</f>
        <v>0</v>
      </c>
      <c r="N124" s="27" t="n">
        <f aca="false">IF(M124&lt;=0,0,MIN(M124,N('Min gæld'!$E$7)+L124))</f>
        <v>0</v>
      </c>
      <c r="O124" s="27" t="n">
        <f aca="false">IF(M124-N124&lt;0.005,0,M124-N124)</f>
        <v>0</v>
      </c>
      <c r="P124" s="27" t="n">
        <f aca="false">MAX(0,IF(N(O123)&lt;=0.005,L124,L124+N('Min gæld'!$E$7)-N124))</f>
        <v>4800</v>
      </c>
      <c r="Q124" s="27" t="n">
        <f aca="false">IF(N(S123)&lt;=0.005,0,N(S123)*(1+N('Min gæld'!$D$8)/12))</f>
        <v>0</v>
      </c>
      <c r="R124" s="27" t="n">
        <f aca="false">IF(Q124&lt;=0,0,MIN(Q124,N('Min gæld'!$E$8)+P124))</f>
        <v>0</v>
      </c>
      <c r="S124" s="27" t="n">
        <f aca="false">IF(Q124-R124&lt;0.005,0,Q124-R124)</f>
        <v>0</v>
      </c>
      <c r="T124" s="27" t="n">
        <f aca="false">MAX(0,IF(N(S123)&lt;=0.005,P124,P124+N('Min gæld'!$E$8)-R124))</f>
        <v>4800</v>
      </c>
      <c r="U124" s="27" t="n">
        <f aca="false">IF(N(W123)&lt;=0.005,0,N(W123)*(1+N('Min gæld'!$D$9)/12))</f>
        <v>0</v>
      </c>
      <c r="V124" s="27" t="n">
        <f aca="false">IF(U124&lt;=0,0,MIN(U124,N('Min gæld'!$E$9)+T124))</f>
        <v>0</v>
      </c>
      <c r="W124" s="27" t="n">
        <f aca="false">IF(U124-V124&lt;0.005,0,U124-V124)</f>
        <v>0</v>
      </c>
      <c r="X124" s="27" t="n">
        <f aca="false">MAX(0,IF(N(W123)&lt;=0.005,T124,T124+N('Min gæld'!$E$9)-V124))</f>
        <v>4800</v>
      </c>
      <c r="Y124" s="27" t="n">
        <f aca="false">IF(N(AA123)&lt;=0.005,0,N(AA123)*(1+N('Min gæld'!$D$10)/12))</f>
        <v>0</v>
      </c>
      <c r="Z124" s="27" t="n">
        <f aca="false">IF(Y124&lt;=0,0,MIN(Y124,N('Min gæld'!$E$10)+X124))</f>
        <v>0</v>
      </c>
      <c r="AA124" s="27" t="n">
        <f aca="false">IF(Y124-Z124&lt;0.005,0,Y124-Z124)</f>
        <v>0</v>
      </c>
      <c r="AB124" s="27" t="n">
        <f aca="false">MAX(0,IF(N(AA123)&lt;=0.005,X124,X124+N('Min gæld'!$E$10)-Z124))</f>
        <v>4800</v>
      </c>
      <c r="AC124" s="27" t="n">
        <f aca="false">IF(N(AE123)&lt;=0.005,0,N(AE123)*(1+N('Min gæld'!$D$11)/12))</f>
        <v>0</v>
      </c>
      <c r="AD124" s="27" t="n">
        <f aca="false">IF(AC124&lt;=0,0,MIN(AC124,N('Min gæld'!$E$11)+AB124))</f>
        <v>0</v>
      </c>
      <c r="AE124" s="27" t="n">
        <f aca="false">IF(AC124-AD124&lt;0.005,0,AC124-AD124)</f>
        <v>0</v>
      </c>
      <c r="AF124" s="27" t="n">
        <f aca="false">MAX(0,IF(N(AE123)&lt;=0.005,AB124,AB124+N('Min gæld'!$E$11)-AD124))</f>
        <v>4800</v>
      </c>
      <c r="AG124" s="27" t="n">
        <f aca="false">IF(N(AI123)&lt;=0.005,0,N(AI123)*(1+N('Min gæld'!$D$12)/12))</f>
        <v>0</v>
      </c>
      <c r="AH124" s="27" t="n">
        <f aca="false">IF(AG124&lt;=0,0,MIN(AG124,N('Min gæld'!$E$12)+AF124))</f>
        <v>0</v>
      </c>
      <c r="AI124" s="27" t="n">
        <f aca="false">IF(AG124-AH124&lt;0.005,0,AG124-AH124)</f>
        <v>0</v>
      </c>
      <c r="AJ124" s="27" t="n">
        <f aca="false">G124+K124+O124+S124+W124+AA124+AE124+AI124</f>
        <v>0</v>
      </c>
      <c r="AK124" s="28" t="n">
        <f aca="false">IF(E124&gt;0,E124-N(G123),0)+IF(I124&gt;0,I124-N(K123),0)+IF(M124&gt;0,M124-N(O123),0)+IF(Q124&gt;0,Q124-N(S123),0)+IF(U124&gt;0,U124-N(W123),0)+IF(Y124&gt;0,Y124-N(AA123),0)+IF(AC124&gt;0,AC124-N(AE123),0)+IF(AG124&gt;0,AG124-N(AI123),0)</f>
        <v>0</v>
      </c>
    </row>
    <row r="125" customFormat="false" ht="15" hidden="false" customHeight="false" outlineLevel="0" collapsed="false">
      <c r="A125" s="25" t="n">
        <v>120</v>
      </c>
      <c r="B125" s="26" t="n">
        <f aca="false">EDATE('Min gæld'!$C$16,119)</f>
        <v>50010</v>
      </c>
      <c r="C125" s="27" t="n">
        <f aca="false">N('Min gæld'!$C$15)+IF(N(G124)&lt;=0.005,N('Min gæld'!$E$5),0)+IF(N(K124)&lt;=0.005,N('Min gæld'!$E$6),0)+IF(N(O124)&lt;=0.005,N('Min gæld'!$E$7),0)+IF(N(S124)&lt;=0.005,N('Min gæld'!$E$8),0)+IF(N(W124)&lt;=0.005,N('Min gæld'!$E$9),0)+IF(N(AA124)&lt;=0.005,N('Min gæld'!$E$10),0)+IF(N(AE124)&lt;=0.005,N('Min gæld'!$E$11),0)+IF(N(AI124)&lt;=0.005,N('Min gæld'!$E$12),0)</f>
        <v>4800</v>
      </c>
      <c r="D125" s="27" t="n">
        <f aca="false">MAX(0,C125)</f>
        <v>4800</v>
      </c>
      <c r="E125" s="27" t="n">
        <f aca="false">IF(N(G124)&lt;=0.005,0,N(G124)*(1+N('Min gæld'!$D$5)/12))</f>
        <v>0</v>
      </c>
      <c r="F125" s="27" t="n">
        <f aca="false">IF(E125&lt;=0,0,MIN(E125,N('Min gæld'!$E$5)+D125))</f>
        <v>0</v>
      </c>
      <c r="G125" s="27" t="n">
        <f aca="false">IF(E125-F125&lt;0.005,0,E125-F125)</f>
        <v>0</v>
      </c>
      <c r="H125" s="27" t="n">
        <f aca="false">MAX(0,IF(N(G124)&lt;=0.005,D125,D125+N('Min gæld'!$E$5)-F125))</f>
        <v>4800</v>
      </c>
      <c r="I125" s="27" t="n">
        <f aca="false">IF(N(K124)&lt;=0.005,0,N(K124)*(1+N('Min gæld'!$D$6)/12))</f>
        <v>0</v>
      </c>
      <c r="J125" s="27" t="n">
        <f aca="false">IF(I125&lt;=0,0,MIN(I125,N('Min gæld'!$E$6)+H125))</f>
        <v>0</v>
      </c>
      <c r="K125" s="27" t="n">
        <f aca="false">IF(I125-J125&lt;0.005,0,I125-J125)</f>
        <v>0</v>
      </c>
      <c r="L125" s="27" t="n">
        <f aca="false">MAX(0,IF(N(K124)&lt;=0.005,H125,H125+N('Min gæld'!$E$6)-J125))</f>
        <v>4800</v>
      </c>
      <c r="M125" s="27" t="n">
        <f aca="false">IF(N(O124)&lt;=0.005,0,N(O124)*(1+N('Min gæld'!$D$7)/12))</f>
        <v>0</v>
      </c>
      <c r="N125" s="27" t="n">
        <f aca="false">IF(M125&lt;=0,0,MIN(M125,N('Min gæld'!$E$7)+L125))</f>
        <v>0</v>
      </c>
      <c r="O125" s="27" t="n">
        <f aca="false">IF(M125-N125&lt;0.005,0,M125-N125)</f>
        <v>0</v>
      </c>
      <c r="P125" s="27" t="n">
        <f aca="false">MAX(0,IF(N(O124)&lt;=0.005,L125,L125+N('Min gæld'!$E$7)-N125))</f>
        <v>4800</v>
      </c>
      <c r="Q125" s="27" t="n">
        <f aca="false">IF(N(S124)&lt;=0.005,0,N(S124)*(1+N('Min gæld'!$D$8)/12))</f>
        <v>0</v>
      </c>
      <c r="R125" s="27" t="n">
        <f aca="false">IF(Q125&lt;=0,0,MIN(Q125,N('Min gæld'!$E$8)+P125))</f>
        <v>0</v>
      </c>
      <c r="S125" s="27" t="n">
        <f aca="false">IF(Q125-R125&lt;0.005,0,Q125-R125)</f>
        <v>0</v>
      </c>
      <c r="T125" s="27" t="n">
        <f aca="false">MAX(0,IF(N(S124)&lt;=0.005,P125,P125+N('Min gæld'!$E$8)-R125))</f>
        <v>4800</v>
      </c>
      <c r="U125" s="27" t="n">
        <f aca="false">IF(N(W124)&lt;=0.005,0,N(W124)*(1+N('Min gæld'!$D$9)/12))</f>
        <v>0</v>
      </c>
      <c r="V125" s="27" t="n">
        <f aca="false">IF(U125&lt;=0,0,MIN(U125,N('Min gæld'!$E$9)+T125))</f>
        <v>0</v>
      </c>
      <c r="W125" s="27" t="n">
        <f aca="false">IF(U125-V125&lt;0.005,0,U125-V125)</f>
        <v>0</v>
      </c>
      <c r="X125" s="27" t="n">
        <f aca="false">MAX(0,IF(N(W124)&lt;=0.005,T125,T125+N('Min gæld'!$E$9)-V125))</f>
        <v>4800</v>
      </c>
      <c r="Y125" s="27" t="n">
        <f aca="false">IF(N(AA124)&lt;=0.005,0,N(AA124)*(1+N('Min gæld'!$D$10)/12))</f>
        <v>0</v>
      </c>
      <c r="Z125" s="27" t="n">
        <f aca="false">IF(Y125&lt;=0,0,MIN(Y125,N('Min gæld'!$E$10)+X125))</f>
        <v>0</v>
      </c>
      <c r="AA125" s="27" t="n">
        <f aca="false">IF(Y125-Z125&lt;0.005,0,Y125-Z125)</f>
        <v>0</v>
      </c>
      <c r="AB125" s="27" t="n">
        <f aca="false">MAX(0,IF(N(AA124)&lt;=0.005,X125,X125+N('Min gæld'!$E$10)-Z125))</f>
        <v>4800</v>
      </c>
      <c r="AC125" s="27" t="n">
        <f aca="false">IF(N(AE124)&lt;=0.005,0,N(AE124)*(1+N('Min gæld'!$D$11)/12))</f>
        <v>0</v>
      </c>
      <c r="AD125" s="27" t="n">
        <f aca="false">IF(AC125&lt;=0,0,MIN(AC125,N('Min gæld'!$E$11)+AB125))</f>
        <v>0</v>
      </c>
      <c r="AE125" s="27" t="n">
        <f aca="false">IF(AC125-AD125&lt;0.005,0,AC125-AD125)</f>
        <v>0</v>
      </c>
      <c r="AF125" s="27" t="n">
        <f aca="false">MAX(0,IF(N(AE124)&lt;=0.005,AB125,AB125+N('Min gæld'!$E$11)-AD125))</f>
        <v>4800</v>
      </c>
      <c r="AG125" s="27" t="n">
        <f aca="false">IF(N(AI124)&lt;=0.005,0,N(AI124)*(1+N('Min gæld'!$D$12)/12))</f>
        <v>0</v>
      </c>
      <c r="AH125" s="27" t="n">
        <f aca="false">IF(AG125&lt;=0,0,MIN(AG125,N('Min gæld'!$E$12)+AF125))</f>
        <v>0</v>
      </c>
      <c r="AI125" s="27" t="n">
        <f aca="false">IF(AG125-AH125&lt;0.005,0,AG125-AH125)</f>
        <v>0</v>
      </c>
      <c r="AJ125" s="27" t="n">
        <f aca="false">G125+K125+O125+S125+W125+AA125+AE125+AI125</f>
        <v>0</v>
      </c>
      <c r="AK125" s="28" t="n">
        <f aca="false">IF(E125&gt;0,E125-N(G124),0)+IF(I125&gt;0,I125-N(K124),0)+IF(M125&gt;0,M125-N(O124),0)+IF(Q125&gt;0,Q125-N(S124),0)+IF(U125&gt;0,U125-N(W124),0)+IF(Y125&gt;0,Y125-N(AA124),0)+IF(AC125&gt;0,AC125-N(AE124),0)+IF(AG125&gt;0,AG125-N(AI124),0)</f>
        <v>0</v>
      </c>
    </row>
    <row r="126" customFormat="false" ht="15" hidden="false" customHeight="false" outlineLevel="0" collapsed="false">
      <c r="A126" s="25" t="n">
        <v>121</v>
      </c>
      <c r="B126" s="26" t="n">
        <f aca="false">EDATE('Min gæld'!$C$16,120)</f>
        <v>50041</v>
      </c>
      <c r="C126" s="27" t="n">
        <f aca="false">N('Min gæld'!$C$15)+IF(N(G125)&lt;=0.005,N('Min gæld'!$E$5),0)+IF(N(K125)&lt;=0.005,N('Min gæld'!$E$6),0)+IF(N(O125)&lt;=0.005,N('Min gæld'!$E$7),0)+IF(N(S125)&lt;=0.005,N('Min gæld'!$E$8),0)+IF(N(W125)&lt;=0.005,N('Min gæld'!$E$9),0)+IF(N(AA125)&lt;=0.005,N('Min gæld'!$E$10),0)+IF(N(AE125)&lt;=0.005,N('Min gæld'!$E$11),0)+IF(N(AI125)&lt;=0.005,N('Min gæld'!$E$12),0)</f>
        <v>4800</v>
      </c>
      <c r="D126" s="27" t="n">
        <f aca="false">MAX(0,C126)</f>
        <v>4800</v>
      </c>
      <c r="E126" s="27" t="n">
        <f aca="false">IF(N(G125)&lt;=0.005,0,N(G125)*(1+N('Min gæld'!$D$5)/12))</f>
        <v>0</v>
      </c>
      <c r="F126" s="27" t="n">
        <f aca="false">IF(E126&lt;=0,0,MIN(E126,N('Min gæld'!$E$5)+D126))</f>
        <v>0</v>
      </c>
      <c r="G126" s="27" t="n">
        <f aca="false">IF(E126-F126&lt;0.005,0,E126-F126)</f>
        <v>0</v>
      </c>
      <c r="H126" s="27" t="n">
        <f aca="false">MAX(0,IF(N(G125)&lt;=0.005,D126,D126+N('Min gæld'!$E$5)-F126))</f>
        <v>4800</v>
      </c>
      <c r="I126" s="27" t="n">
        <f aca="false">IF(N(K125)&lt;=0.005,0,N(K125)*(1+N('Min gæld'!$D$6)/12))</f>
        <v>0</v>
      </c>
      <c r="J126" s="27" t="n">
        <f aca="false">IF(I126&lt;=0,0,MIN(I126,N('Min gæld'!$E$6)+H126))</f>
        <v>0</v>
      </c>
      <c r="K126" s="27" t="n">
        <f aca="false">IF(I126-J126&lt;0.005,0,I126-J126)</f>
        <v>0</v>
      </c>
      <c r="L126" s="27" t="n">
        <f aca="false">MAX(0,IF(N(K125)&lt;=0.005,H126,H126+N('Min gæld'!$E$6)-J126))</f>
        <v>4800</v>
      </c>
      <c r="M126" s="27" t="n">
        <f aca="false">IF(N(O125)&lt;=0.005,0,N(O125)*(1+N('Min gæld'!$D$7)/12))</f>
        <v>0</v>
      </c>
      <c r="N126" s="27" t="n">
        <f aca="false">IF(M126&lt;=0,0,MIN(M126,N('Min gæld'!$E$7)+L126))</f>
        <v>0</v>
      </c>
      <c r="O126" s="27" t="n">
        <f aca="false">IF(M126-N126&lt;0.005,0,M126-N126)</f>
        <v>0</v>
      </c>
      <c r="P126" s="27" t="n">
        <f aca="false">MAX(0,IF(N(O125)&lt;=0.005,L126,L126+N('Min gæld'!$E$7)-N126))</f>
        <v>4800</v>
      </c>
      <c r="Q126" s="27" t="n">
        <f aca="false">IF(N(S125)&lt;=0.005,0,N(S125)*(1+N('Min gæld'!$D$8)/12))</f>
        <v>0</v>
      </c>
      <c r="R126" s="27" t="n">
        <f aca="false">IF(Q126&lt;=0,0,MIN(Q126,N('Min gæld'!$E$8)+P126))</f>
        <v>0</v>
      </c>
      <c r="S126" s="27" t="n">
        <f aca="false">IF(Q126-R126&lt;0.005,0,Q126-R126)</f>
        <v>0</v>
      </c>
      <c r="T126" s="27" t="n">
        <f aca="false">MAX(0,IF(N(S125)&lt;=0.005,P126,P126+N('Min gæld'!$E$8)-R126))</f>
        <v>4800</v>
      </c>
      <c r="U126" s="27" t="n">
        <f aca="false">IF(N(W125)&lt;=0.005,0,N(W125)*(1+N('Min gæld'!$D$9)/12))</f>
        <v>0</v>
      </c>
      <c r="V126" s="27" t="n">
        <f aca="false">IF(U126&lt;=0,0,MIN(U126,N('Min gæld'!$E$9)+T126))</f>
        <v>0</v>
      </c>
      <c r="W126" s="27" t="n">
        <f aca="false">IF(U126-V126&lt;0.005,0,U126-V126)</f>
        <v>0</v>
      </c>
      <c r="X126" s="27" t="n">
        <f aca="false">MAX(0,IF(N(W125)&lt;=0.005,T126,T126+N('Min gæld'!$E$9)-V126))</f>
        <v>4800</v>
      </c>
      <c r="Y126" s="27" t="n">
        <f aca="false">IF(N(AA125)&lt;=0.005,0,N(AA125)*(1+N('Min gæld'!$D$10)/12))</f>
        <v>0</v>
      </c>
      <c r="Z126" s="27" t="n">
        <f aca="false">IF(Y126&lt;=0,0,MIN(Y126,N('Min gæld'!$E$10)+X126))</f>
        <v>0</v>
      </c>
      <c r="AA126" s="27" t="n">
        <f aca="false">IF(Y126-Z126&lt;0.005,0,Y126-Z126)</f>
        <v>0</v>
      </c>
      <c r="AB126" s="27" t="n">
        <f aca="false">MAX(0,IF(N(AA125)&lt;=0.005,X126,X126+N('Min gæld'!$E$10)-Z126))</f>
        <v>4800</v>
      </c>
      <c r="AC126" s="27" t="n">
        <f aca="false">IF(N(AE125)&lt;=0.005,0,N(AE125)*(1+N('Min gæld'!$D$11)/12))</f>
        <v>0</v>
      </c>
      <c r="AD126" s="27" t="n">
        <f aca="false">IF(AC126&lt;=0,0,MIN(AC126,N('Min gæld'!$E$11)+AB126))</f>
        <v>0</v>
      </c>
      <c r="AE126" s="27" t="n">
        <f aca="false">IF(AC126-AD126&lt;0.005,0,AC126-AD126)</f>
        <v>0</v>
      </c>
      <c r="AF126" s="27" t="n">
        <f aca="false">MAX(0,IF(N(AE125)&lt;=0.005,AB126,AB126+N('Min gæld'!$E$11)-AD126))</f>
        <v>4800</v>
      </c>
      <c r="AG126" s="27" t="n">
        <f aca="false">IF(N(AI125)&lt;=0.005,0,N(AI125)*(1+N('Min gæld'!$D$12)/12))</f>
        <v>0</v>
      </c>
      <c r="AH126" s="27" t="n">
        <f aca="false">IF(AG126&lt;=0,0,MIN(AG126,N('Min gæld'!$E$12)+AF126))</f>
        <v>0</v>
      </c>
      <c r="AI126" s="27" t="n">
        <f aca="false">IF(AG126-AH126&lt;0.005,0,AG126-AH126)</f>
        <v>0</v>
      </c>
      <c r="AJ126" s="27" t="n">
        <f aca="false">G126+K126+O126+S126+W126+AA126+AE126+AI126</f>
        <v>0</v>
      </c>
      <c r="AK126" s="28" t="n">
        <f aca="false">IF(E126&gt;0,E126-N(G125),0)+IF(I126&gt;0,I126-N(K125),0)+IF(M126&gt;0,M126-N(O125),0)+IF(Q126&gt;0,Q126-N(S125),0)+IF(U126&gt;0,U126-N(W125),0)+IF(Y126&gt;0,Y126-N(AA125),0)+IF(AC126&gt;0,AC126-N(AE125),0)+IF(AG126&gt;0,AG126-N(AI125),0)</f>
        <v>0</v>
      </c>
    </row>
    <row r="127" customFormat="false" ht="15" hidden="false" customHeight="false" outlineLevel="0" collapsed="false">
      <c r="A127" s="25" t="n">
        <v>122</v>
      </c>
      <c r="B127" s="26" t="n">
        <f aca="false">EDATE('Min gæld'!$C$16,121)</f>
        <v>50072</v>
      </c>
      <c r="C127" s="27" t="n">
        <f aca="false">N('Min gæld'!$C$15)+IF(N(G126)&lt;=0.005,N('Min gæld'!$E$5),0)+IF(N(K126)&lt;=0.005,N('Min gæld'!$E$6),0)+IF(N(O126)&lt;=0.005,N('Min gæld'!$E$7),0)+IF(N(S126)&lt;=0.005,N('Min gæld'!$E$8),0)+IF(N(W126)&lt;=0.005,N('Min gæld'!$E$9),0)+IF(N(AA126)&lt;=0.005,N('Min gæld'!$E$10),0)+IF(N(AE126)&lt;=0.005,N('Min gæld'!$E$11),0)+IF(N(AI126)&lt;=0.005,N('Min gæld'!$E$12),0)</f>
        <v>4800</v>
      </c>
      <c r="D127" s="27" t="n">
        <f aca="false">MAX(0,C127)</f>
        <v>4800</v>
      </c>
      <c r="E127" s="27" t="n">
        <f aca="false">IF(N(G126)&lt;=0.005,0,N(G126)*(1+N('Min gæld'!$D$5)/12))</f>
        <v>0</v>
      </c>
      <c r="F127" s="27" t="n">
        <f aca="false">IF(E127&lt;=0,0,MIN(E127,N('Min gæld'!$E$5)+D127))</f>
        <v>0</v>
      </c>
      <c r="G127" s="27" t="n">
        <f aca="false">IF(E127-F127&lt;0.005,0,E127-F127)</f>
        <v>0</v>
      </c>
      <c r="H127" s="27" t="n">
        <f aca="false">MAX(0,IF(N(G126)&lt;=0.005,D127,D127+N('Min gæld'!$E$5)-F127))</f>
        <v>4800</v>
      </c>
      <c r="I127" s="27" t="n">
        <f aca="false">IF(N(K126)&lt;=0.005,0,N(K126)*(1+N('Min gæld'!$D$6)/12))</f>
        <v>0</v>
      </c>
      <c r="J127" s="27" t="n">
        <f aca="false">IF(I127&lt;=0,0,MIN(I127,N('Min gæld'!$E$6)+H127))</f>
        <v>0</v>
      </c>
      <c r="K127" s="27" t="n">
        <f aca="false">IF(I127-J127&lt;0.005,0,I127-J127)</f>
        <v>0</v>
      </c>
      <c r="L127" s="27" t="n">
        <f aca="false">MAX(0,IF(N(K126)&lt;=0.005,H127,H127+N('Min gæld'!$E$6)-J127))</f>
        <v>4800</v>
      </c>
      <c r="M127" s="27" t="n">
        <f aca="false">IF(N(O126)&lt;=0.005,0,N(O126)*(1+N('Min gæld'!$D$7)/12))</f>
        <v>0</v>
      </c>
      <c r="N127" s="27" t="n">
        <f aca="false">IF(M127&lt;=0,0,MIN(M127,N('Min gæld'!$E$7)+L127))</f>
        <v>0</v>
      </c>
      <c r="O127" s="27" t="n">
        <f aca="false">IF(M127-N127&lt;0.005,0,M127-N127)</f>
        <v>0</v>
      </c>
      <c r="P127" s="27" t="n">
        <f aca="false">MAX(0,IF(N(O126)&lt;=0.005,L127,L127+N('Min gæld'!$E$7)-N127))</f>
        <v>4800</v>
      </c>
      <c r="Q127" s="27" t="n">
        <f aca="false">IF(N(S126)&lt;=0.005,0,N(S126)*(1+N('Min gæld'!$D$8)/12))</f>
        <v>0</v>
      </c>
      <c r="R127" s="27" t="n">
        <f aca="false">IF(Q127&lt;=0,0,MIN(Q127,N('Min gæld'!$E$8)+P127))</f>
        <v>0</v>
      </c>
      <c r="S127" s="27" t="n">
        <f aca="false">IF(Q127-R127&lt;0.005,0,Q127-R127)</f>
        <v>0</v>
      </c>
      <c r="T127" s="27" t="n">
        <f aca="false">MAX(0,IF(N(S126)&lt;=0.005,P127,P127+N('Min gæld'!$E$8)-R127))</f>
        <v>4800</v>
      </c>
      <c r="U127" s="27" t="n">
        <f aca="false">IF(N(W126)&lt;=0.005,0,N(W126)*(1+N('Min gæld'!$D$9)/12))</f>
        <v>0</v>
      </c>
      <c r="V127" s="27" t="n">
        <f aca="false">IF(U127&lt;=0,0,MIN(U127,N('Min gæld'!$E$9)+T127))</f>
        <v>0</v>
      </c>
      <c r="W127" s="27" t="n">
        <f aca="false">IF(U127-V127&lt;0.005,0,U127-V127)</f>
        <v>0</v>
      </c>
      <c r="X127" s="27" t="n">
        <f aca="false">MAX(0,IF(N(W126)&lt;=0.005,T127,T127+N('Min gæld'!$E$9)-V127))</f>
        <v>4800</v>
      </c>
      <c r="Y127" s="27" t="n">
        <f aca="false">IF(N(AA126)&lt;=0.005,0,N(AA126)*(1+N('Min gæld'!$D$10)/12))</f>
        <v>0</v>
      </c>
      <c r="Z127" s="27" t="n">
        <f aca="false">IF(Y127&lt;=0,0,MIN(Y127,N('Min gæld'!$E$10)+X127))</f>
        <v>0</v>
      </c>
      <c r="AA127" s="27" t="n">
        <f aca="false">IF(Y127-Z127&lt;0.005,0,Y127-Z127)</f>
        <v>0</v>
      </c>
      <c r="AB127" s="27" t="n">
        <f aca="false">MAX(0,IF(N(AA126)&lt;=0.005,X127,X127+N('Min gæld'!$E$10)-Z127))</f>
        <v>4800</v>
      </c>
      <c r="AC127" s="27" t="n">
        <f aca="false">IF(N(AE126)&lt;=0.005,0,N(AE126)*(1+N('Min gæld'!$D$11)/12))</f>
        <v>0</v>
      </c>
      <c r="AD127" s="27" t="n">
        <f aca="false">IF(AC127&lt;=0,0,MIN(AC127,N('Min gæld'!$E$11)+AB127))</f>
        <v>0</v>
      </c>
      <c r="AE127" s="27" t="n">
        <f aca="false">IF(AC127-AD127&lt;0.005,0,AC127-AD127)</f>
        <v>0</v>
      </c>
      <c r="AF127" s="27" t="n">
        <f aca="false">MAX(0,IF(N(AE126)&lt;=0.005,AB127,AB127+N('Min gæld'!$E$11)-AD127))</f>
        <v>4800</v>
      </c>
      <c r="AG127" s="27" t="n">
        <f aca="false">IF(N(AI126)&lt;=0.005,0,N(AI126)*(1+N('Min gæld'!$D$12)/12))</f>
        <v>0</v>
      </c>
      <c r="AH127" s="27" t="n">
        <f aca="false">IF(AG127&lt;=0,0,MIN(AG127,N('Min gæld'!$E$12)+AF127))</f>
        <v>0</v>
      </c>
      <c r="AI127" s="27" t="n">
        <f aca="false">IF(AG127-AH127&lt;0.005,0,AG127-AH127)</f>
        <v>0</v>
      </c>
      <c r="AJ127" s="27" t="n">
        <f aca="false">G127+K127+O127+S127+W127+AA127+AE127+AI127</f>
        <v>0</v>
      </c>
      <c r="AK127" s="28" t="n">
        <f aca="false">IF(E127&gt;0,E127-N(G126),0)+IF(I127&gt;0,I127-N(K126),0)+IF(M127&gt;0,M127-N(O126),0)+IF(Q127&gt;0,Q127-N(S126),0)+IF(U127&gt;0,U127-N(W126),0)+IF(Y127&gt;0,Y127-N(AA126),0)+IF(AC127&gt;0,AC127-N(AE126),0)+IF(AG127&gt;0,AG127-N(AI126),0)</f>
        <v>0</v>
      </c>
    </row>
    <row r="128" customFormat="false" ht="15" hidden="false" customHeight="false" outlineLevel="0" collapsed="false">
      <c r="A128" s="25" t="n">
        <v>123</v>
      </c>
      <c r="B128" s="26" t="n">
        <f aca="false">EDATE('Min gæld'!$C$16,122)</f>
        <v>50100</v>
      </c>
      <c r="C128" s="27" t="n">
        <f aca="false">N('Min gæld'!$C$15)+IF(N(G127)&lt;=0.005,N('Min gæld'!$E$5),0)+IF(N(K127)&lt;=0.005,N('Min gæld'!$E$6),0)+IF(N(O127)&lt;=0.005,N('Min gæld'!$E$7),0)+IF(N(S127)&lt;=0.005,N('Min gæld'!$E$8),0)+IF(N(W127)&lt;=0.005,N('Min gæld'!$E$9),0)+IF(N(AA127)&lt;=0.005,N('Min gæld'!$E$10),0)+IF(N(AE127)&lt;=0.005,N('Min gæld'!$E$11),0)+IF(N(AI127)&lt;=0.005,N('Min gæld'!$E$12),0)</f>
        <v>4800</v>
      </c>
      <c r="D128" s="27" t="n">
        <f aca="false">MAX(0,C128)</f>
        <v>4800</v>
      </c>
      <c r="E128" s="27" t="n">
        <f aca="false">IF(N(G127)&lt;=0.005,0,N(G127)*(1+N('Min gæld'!$D$5)/12))</f>
        <v>0</v>
      </c>
      <c r="F128" s="27" t="n">
        <f aca="false">IF(E128&lt;=0,0,MIN(E128,N('Min gæld'!$E$5)+D128))</f>
        <v>0</v>
      </c>
      <c r="G128" s="27" t="n">
        <f aca="false">IF(E128-F128&lt;0.005,0,E128-F128)</f>
        <v>0</v>
      </c>
      <c r="H128" s="27" t="n">
        <f aca="false">MAX(0,IF(N(G127)&lt;=0.005,D128,D128+N('Min gæld'!$E$5)-F128))</f>
        <v>4800</v>
      </c>
      <c r="I128" s="27" t="n">
        <f aca="false">IF(N(K127)&lt;=0.005,0,N(K127)*(1+N('Min gæld'!$D$6)/12))</f>
        <v>0</v>
      </c>
      <c r="J128" s="27" t="n">
        <f aca="false">IF(I128&lt;=0,0,MIN(I128,N('Min gæld'!$E$6)+H128))</f>
        <v>0</v>
      </c>
      <c r="K128" s="27" t="n">
        <f aca="false">IF(I128-J128&lt;0.005,0,I128-J128)</f>
        <v>0</v>
      </c>
      <c r="L128" s="27" t="n">
        <f aca="false">MAX(0,IF(N(K127)&lt;=0.005,H128,H128+N('Min gæld'!$E$6)-J128))</f>
        <v>4800</v>
      </c>
      <c r="M128" s="27" t="n">
        <f aca="false">IF(N(O127)&lt;=0.005,0,N(O127)*(1+N('Min gæld'!$D$7)/12))</f>
        <v>0</v>
      </c>
      <c r="N128" s="27" t="n">
        <f aca="false">IF(M128&lt;=0,0,MIN(M128,N('Min gæld'!$E$7)+L128))</f>
        <v>0</v>
      </c>
      <c r="O128" s="27" t="n">
        <f aca="false">IF(M128-N128&lt;0.005,0,M128-N128)</f>
        <v>0</v>
      </c>
      <c r="P128" s="27" t="n">
        <f aca="false">MAX(0,IF(N(O127)&lt;=0.005,L128,L128+N('Min gæld'!$E$7)-N128))</f>
        <v>4800</v>
      </c>
      <c r="Q128" s="27" t="n">
        <f aca="false">IF(N(S127)&lt;=0.005,0,N(S127)*(1+N('Min gæld'!$D$8)/12))</f>
        <v>0</v>
      </c>
      <c r="R128" s="27" t="n">
        <f aca="false">IF(Q128&lt;=0,0,MIN(Q128,N('Min gæld'!$E$8)+P128))</f>
        <v>0</v>
      </c>
      <c r="S128" s="27" t="n">
        <f aca="false">IF(Q128-R128&lt;0.005,0,Q128-R128)</f>
        <v>0</v>
      </c>
      <c r="T128" s="27" t="n">
        <f aca="false">MAX(0,IF(N(S127)&lt;=0.005,P128,P128+N('Min gæld'!$E$8)-R128))</f>
        <v>4800</v>
      </c>
      <c r="U128" s="27" t="n">
        <f aca="false">IF(N(W127)&lt;=0.005,0,N(W127)*(1+N('Min gæld'!$D$9)/12))</f>
        <v>0</v>
      </c>
      <c r="V128" s="27" t="n">
        <f aca="false">IF(U128&lt;=0,0,MIN(U128,N('Min gæld'!$E$9)+T128))</f>
        <v>0</v>
      </c>
      <c r="W128" s="27" t="n">
        <f aca="false">IF(U128-V128&lt;0.005,0,U128-V128)</f>
        <v>0</v>
      </c>
      <c r="X128" s="27" t="n">
        <f aca="false">MAX(0,IF(N(W127)&lt;=0.005,T128,T128+N('Min gæld'!$E$9)-V128))</f>
        <v>4800</v>
      </c>
      <c r="Y128" s="27" t="n">
        <f aca="false">IF(N(AA127)&lt;=0.005,0,N(AA127)*(1+N('Min gæld'!$D$10)/12))</f>
        <v>0</v>
      </c>
      <c r="Z128" s="27" t="n">
        <f aca="false">IF(Y128&lt;=0,0,MIN(Y128,N('Min gæld'!$E$10)+X128))</f>
        <v>0</v>
      </c>
      <c r="AA128" s="27" t="n">
        <f aca="false">IF(Y128-Z128&lt;0.005,0,Y128-Z128)</f>
        <v>0</v>
      </c>
      <c r="AB128" s="27" t="n">
        <f aca="false">MAX(0,IF(N(AA127)&lt;=0.005,X128,X128+N('Min gæld'!$E$10)-Z128))</f>
        <v>4800</v>
      </c>
      <c r="AC128" s="27" t="n">
        <f aca="false">IF(N(AE127)&lt;=0.005,0,N(AE127)*(1+N('Min gæld'!$D$11)/12))</f>
        <v>0</v>
      </c>
      <c r="AD128" s="27" t="n">
        <f aca="false">IF(AC128&lt;=0,0,MIN(AC128,N('Min gæld'!$E$11)+AB128))</f>
        <v>0</v>
      </c>
      <c r="AE128" s="27" t="n">
        <f aca="false">IF(AC128-AD128&lt;0.005,0,AC128-AD128)</f>
        <v>0</v>
      </c>
      <c r="AF128" s="27" t="n">
        <f aca="false">MAX(0,IF(N(AE127)&lt;=0.005,AB128,AB128+N('Min gæld'!$E$11)-AD128))</f>
        <v>4800</v>
      </c>
      <c r="AG128" s="27" t="n">
        <f aca="false">IF(N(AI127)&lt;=0.005,0,N(AI127)*(1+N('Min gæld'!$D$12)/12))</f>
        <v>0</v>
      </c>
      <c r="AH128" s="27" t="n">
        <f aca="false">IF(AG128&lt;=0,0,MIN(AG128,N('Min gæld'!$E$12)+AF128))</f>
        <v>0</v>
      </c>
      <c r="AI128" s="27" t="n">
        <f aca="false">IF(AG128-AH128&lt;0.005,0,AG128-AH128)</f>
        <v>0</v>
      </c>
      <c r="AJ128" s="27" t="n">
        <f aca="false">G128+K128+O128+S128+W128+AA128+AE128+AI128</f>
        <v>0</v>
      </c>
      <c r="AK128" s="28" t="n">
        <f aca="false">IF(E128&gt;0,E128-N(G127),0)+IF(I128&gt;0,I128-N(K127),0)+IF(M128&gt;0,M128-N(O127),0)+IF(Q128&gt;0,Q128-N(S127),0)+IF(U128&gt;0,U128-N(W127),0)+IF(Y128&gt;0,Y128-N(AA127),0)+IF(AC128&gt;0,AC128-N(AE127),0)+IF(AG128&gt;0,AG128-N(AI127),0)</f>
        <v>0</v>
      </c>
    </row>
    <row r="129" customFormat="false" ht="15" hidden="false" customHeight="false" outlineLevel="0" collapsed="false">
      <c r="A129" s="25" t="n">
        <v>124</v>
      </c>
      <c r="B129" s="26" t="n">
        <f aca="false">EDATE('Min gæld'!$C$16,123)</f>
        <v>50131</v>
      </c>
      <c r="C129" s="27" t="n">
        <f aca="false">N('Min gæld'!$C$15)+IF(N(G128)&lt;=0.005,N('Min gæld'!$E$5),0)+IF(N(K128)&lt;=0.005,N('Min gæld'!$E$6),0)+IF(N(O128)&lt;=0.005,N('Min gæld'!$E$7),0)+IF(N(S128)&lt;=0.005,N('Min gæld'!$E$8),0)+IF(N(W128)&lt;=0.005,N('Min gæld'!$E$9),0)+IF(N(AA128)&lt;=0.005,N('Min gæld'!$E$10),0)+IF(N(AE128)&lt;=0.005,N('Min gæld'!$E$11),0)+IF(N(AI128)&lt;=0.005,N('Min gæld'!$E$12),0)</f>
        <v>4800</v>
      </c>
      <c r="D129" s="27" t="n">
        <f aca="false">MAX(0,C129)</f>
        <v>4800</v>
      </c>
      <c r="E129" s="27" t="n">
        <f aca="false">IF(N(G128)&lt;=0.005,0,N(G128)*(1+N('Min gæld'!$D$5)/12))</f>
        <v>0</v>
      </c>
      <c r="F129" s="27" t="n">
        <f aca="false">IF(E129&lt;=0,0,MIN(E129,N('Min gæld'!$E$5)+D129))</f>
        <v>0</v>
      </c>
      <c r="G129" s="27" t="n">
        <f aca="false">IF(E129-F129&lt;0.005,0,E129-F129)</f>
        <v>0</v>
      </c>
      <c r="H129" s="27" t="n">
        <f aca="false">MAX(0,IF(N(G128)&lt;=0.005,D129,D129+N('Min gæld'!$E$5)-F129))</f>
        <v>4800</v>
      </c>
      <c r="I129" s="27" t="n">
        <f aca="false">IF(N(K128)&lt;=0.005,0,N(K128)*(1+N('Min gæld'!$D$6)/12))</f>
        <v>0</v>
      </c>
      <c r="J129" s="27" t="n">
        <f aca="false">IF(I129&lt;=0,0,MIN(I129,N('Min gæld'!$E$6)+H129))</f>
        <v>0</v>
      </c>
      <c r="K129" s="27" t="n">
        <f aca="false">IF(I129-J129&lt;0.005,0,I129-J129)</f>
        <v>0</v>
      </c>
      <c r="L129" s="27" t="n">
        <f aca="false">MAX(0,IF(N(K128)&lt;=0.005,H129,H129+N('Min gæld'!$E$6)-J129))</f>
        <v>4800</v>
      </c>
      <c r="M129" s="27" t="n">
        <f aca="false">IF(N(O128)&lt;=0.005,0,N(O128)*(1+N('Min gæld'!$D$7)/12))</f>
        <v>0</v>
      </c>
      <c r="N129" s="27" t="n">
        <f aca="false">IF(M129&lt;=0,0,MIN(M129,N('Min gæld'!$E$7)+L129))</f>
        <v>0</v>
      </c>
      <c r="O129" s="27" t="n">
        <f aca="false">IF(M129-N129&lt;0.005,0,M129-N129)</f>
        <v>0</v>
      </c>
      <c r="P129" s="27" t="n">
        <f aca="false">MAX(0,IF(N(O128)&lt;=0.005,L129,L129+N('Min gæld'!$E$7)-N129))</f>
        <v>4800</v>
      </c>
      <c r="Q129" s="27" t="n">
        <f aca="false">IF(N(S128)&lt;=0.005,0,N(S128)*(1+N('Min gæld'!$D$8)/12))</f>
        <v>0</v>
      </c>
      <c r="R129" s="27" t="n">
        <f aca="false">IF(Q129&lt;=0,0,MIN(Q129,N('Min gæld'!$E$8)+P129))</f>
        <v>0</v>
      </c>
      <c r="S129" s="27" t="n">
        <f aca="false">IF(Q129-R129&lt;0.005,0,Q129-R129)</f>
        <v>0</v>
      </c>
      <c r="T129" s="27" t="n">
        <f aca="false">MAX(0,IF(N(S128)&lt;=0.005,P129,P129+N('Min gæld'!$E$8)-R129))</f>
        <v>4800</v>
      </c>
      <c r="U129" s="27" t="n">
        <f aca="false">IF(N(W128)&lt;=0.005,0,N(W128)*(1+N('Min gæld'!$D$9)/12))</f>
        <v>0</v>
      </c>
      <c r="V129" s="27" t="n">
        <f aca="false">IF(U129&lt;=0,0,MIN(U129,N('Min gæld'!$E$9)+T129))</f>
        <v>0</v>
      </c>
      <c r="W129" s="27" t="n">
        <f aca="false">IF(U129-V129&lt;0.005,0,U129-V129)</f>
        <v>0</v>
      </c>
      <c r="X129" s="27" t="n">
        <f aca="false">MAX(0,IF(N(W128)&lt;=0.005,T129,T129+N('Min gæld'!$E$9)-V129))</f>
        <v>4800</v>
      </c>
      <c r="Y129" s="27" t="n">
        <f aca="false">IF(N(AA128)&lt;=0.005,0,N(AA128)*(1+N('Min gæld'!$D$10)/12))</f>
        <v>0</v>
      </c>
      <c r="Z129" s="27" t="n">
        <f aca="false">IF(Y129&lt;=0,0,MIN(Y129,N('Min gæld'!$E$10)+X129))</f>
        <v>0</v>
      </c>
      <c r="AA129" s="27" t="n">
        <f aca="false">IF(Y129-Z129&lt;0.005,0,Y129-Z129)</f>
        <v>0</v>
      </c>
      <c r="AB129" s="27" t="n">
        <f aca="false">MAX(0,IF(N(AA128)&lt;=0.005,X129,X129+N('Min gæld'!$E$10)-Z129))</f>
        <v>4800</v>
      </c>
      <c r="AC129" s="27" t="n">
        <f aca="false">IF(N(AE128)&lt;=0.005,0,N(AE128)*(1+N('Min gæld'!$D$11)/12))</f>
        <v>0</v>
      </c>
      <c r="AD129" s="27" t="n">
        <f aca="false">IF(AC129&lt;=0,0,MIN(AC129,N('Min gæld'!$E$11)+AB129))</f>
        <v>0</v>
      </c>
      <c r="AE129" s="27" t="n">
        <f aca="false">IF(AC129-AD129&lt;0.005,0,AC129-AD129)</f>
        <v>0</v>
      </c>
      <c r="AF129" s="27" t="n">
        <f aca="false">MAX(0,IF(N(AE128)&lt;=0.005,AB129,AB129+N('Min gæld'!$E$11)-AD129))</f>
        <v>4800</v>
      </c>
      <c r="AG129" s="27" t="n">
        <f aca="false">IF(N(AI128)&lt;=0.005,0,N(AI128)*(1+N('Min gæld'!$D$12)/12))</f>
        <v>0</v>
      </c>
      <c r="AH129" s="27" t="n">
        <f aca="false">IF(AG129&lt;=0,0,MIN(AG129,N('Min gæld'!$E$12)+AF129))</f>
        <v>0</v>
      </c>
      <c r="AI129" s="27" t="n">
        <f aca="false">IF(AG129-AH129&lt;0.005,0,AG129-AH129)</f>
        <v>0</v>
      </c>
      <c r="AJ129" s="27" t="n">
        <f aca="false">G129+K129+O129+S129+W129+AA129+AE129+AI129</f>
        <v>0</v>
      </c>
      <c r="AK129" s="28" t="n">
        <f aca="false">IF(E129&gt;0,E129-N(G128),0)+IF(I129&gt;0,I129-N(K128),0)+IF(M129&gt;0,M129-N(O128),0)+IF(Q129&gt;0,Q129-N(S128),0)+IF(U129&gt;0,U129-N(W128),0)+IF(Y129&gt;0,Y129-N(AA128),0)+IF(AC129&gt;0,AC129-N(AE128),0)+IF(AG129&gt;0,AG129-N(AI128),0)</f>
        <v>0</v>
      </c>
    </row>
    <row r="130" customFormat="false" ht="15" hidden="false" customHeight="false" outlineLevel="0" collapsed="false">
      <c r="A130" s="25" t="n">
        <v>125</v>
      </c>
      <c r="B130" s="26" t="n">
        <f aca="false">EDATE('Min gæld'!$C$16,124)</f>
        <v>50161</v>
      </c>
      <c r="C130" s="27" t="n">
        <f aca="false">N('Min gæld'!$C$15)+IF(N(G129)&lt;=0.005,N('Min gæld'!$E$5),0)+IF(N(K129)&lt;=0.005,N('Min gæld'!$E$6),0)+IF(N(O129)&lt;=0.005,N('Min gæld'!$E$7),0)+IF(N(S129)&lt;=0.005,N('Min gæld'!$E$8),0)+IF(N(W129)&lt;=0.005,N('Min gæld'!$E$9),0)+IF(N(AA129)&lt;=0.005,N('Min gæld'!$E$10),0)+IF(N(AE129)&lt;=0.005,N('Min gæld'!$E$11),0)+IF(N(AI129)&lt;=0.005,N('Min gæld'!$E$12),0)</f>
        <v>4800</v>
      </c>
      <c r="D130" s="27" t="n">
        <f aca="false">MAX(0,C130)</f>
        <v>4800</v>
      </c>
      <c r="E130" s="27" t="n">
        <f aca="false">IF(N(G129)&lt;=0.005,0,N(G129)*(1+N('Min gæld'!$D$5)/12))</f>
        <v>0</v>
      </c>
      <c r="F130" s="27" t="n">
        <f aca="false">IF(E130&lt;=0,0,MIN(E130,N('Min gæld'!$E$5)+D130))</f>
        <v>0</v>
      </c>
      <c r="G130" s="27" t="n">
        <f aca="false">IF(E130-F130&lt;0.005,0,E130-F130)</f>
        <v>0</v>
      </c>
      <c r="H130" s="27" t="n">
        <f aca="false">MAX(0,IF(N(G129)&lt;=0.005,D130,D130+N('Min gæld'!$E$5)-F130))</f>
        <v>4800</v>
      </c>
      <c r="I130" s="27" t="n">
        <f aca="false">IF(N(K129)&lt;=0.005,0,N(K129)*(1+N('Min gæld'!$D$6)/12))</f>
        <v>0</v>
      </c>
      <c r="J130" s="27" t="n">
        <f aca="false">IF(I130&lt;=0,0,MIN(I130,N('Min gæld'!$E$6)+H130))</f>
        <v>0</v>
      </c>
      <c r="K130" s="27" t="n">
        <f aca="false">IF(I130-J130&lt;0.005,0,I130-J130)</f>
        <v>0</v>
      </c>
      <c r="L130" s="27" t="n">
        <f aca="false">MAX(0,IF(N(K129)&lt;=0.005,H130,H130+N('Min gæld'!$E$6)-J130))</f>
        <v>4800</v>
      </c>
      <c r="M130" s="27" t="n">
        <f aca="false">IF(N(O129)&lt;=0.005,0,N(O129)*(1+N('Min gæld'!$D$7)/12))</f>
        <v>0</v>
      </c>
      <c r="N130" s="27" t="n">
        <f aca="false">IF(M130&lt;=0,0,MIN(M130,N('Min gæld'!$E$7)+L130))</f>
        <v>0</v>
      </c>
      <c r="O130" s="27" t="n">
        <f aca="false">IF(M130-N130&lt;0.005,0,M130-N130)</f>
        <v>0</v>
      </c>
      <c r="P130" s="27" t="n">
        <f aca="false">MAX(0,IF(N(O129)&lt;=0.005,L130,L130+N('Min gæld'!$E$7)-N130))</f>
        <v>4800</v>
      </c>
      <c r="Q130" s="27" t="n">
        <f aca="false">IF(N(S129)&lt;=0.005,0,N(S129)*(1+N('Min gæld'!$D$8)/12))</f>
        <v>0</v>
      </c>
      <c r="R130" s="27" t="n">
        <f aca="false">IF(Q130&lt;=0,0,MIN(Q130,N('Min gæld'!$E$8)+P130))</f>
        <v>0</v>
      </c>
      <c r="S130" s="27" t="n">
        <f aca="false">IF(Q130-R130&lt;0.005,0,Q130-R130)</f>
        <v>0</v>
      </c>
      <c r="T130" s="27" t="n">
        <f aca="false">MAX(0,IF(N(S129)&lt;=0.005,P130,P130+N('Min gæld'!$E$8)-R130))</f>
        <v>4800</v>
      </c>
      <c r="U130" s="27" t="n">
        <f aca="false">IF(N(W129)&lt;=0.005,0,N(W129)*(1+N('Min gæld'!$D$9)/12))</f>
        <v>0</v>
      </c>
      <c r="V130" s="27" t="n">
        <f aca="false">IF(U130&lt;=0,0,MIN(U130,N('Min gæld'!$E$9)+T130))</f>
        <v>0</v>
      </c>
      <c r="W130" s="27" t="n">
        <f aca="false">IF(U130-V130&lt;0.005,0,U130-V130)</f>
        <v>0</v>
      </c>
      <c r="X130" s="27" t="n">
        <f aca="false">MAX(0,IF(N(W129)&lt;=0.005,T130,T130+N('Min gæld'!$E$9)-V130))</f>
        <v>4800</v>
      </c>
      <c r="Y130" s="27" t="n">
        <f aca="false">IF(N(AA129)&lt;=0.005,0,N(AA129)*(1+N('Min gæld'!$D$10)/12))</f>
        <v>0</v>
      </c>
      <c r="Z130" s="27" t="n">
        <f aca="false">IF(Y130&lt;=0,0,MIN(Y130,N('Min gæld'!$E$10)+X130))</f>
        <v>0</v>
      </c>
      <c r="AA130" s="27" t="n">
        <f aca="false">IF(Y130-Z130&lt;0.005,0,Y130-Z130)</f>
        <v>0</v>
      </c>
      <c r="AB130" s="27" t="n">
        <f aca="false">MAX(0,IF(N(AA129)&lt;=0.005,X130,X130+N('Min gæld'!$E$10)-Z130))</f>
        <v>4800</v>
      </c>
      <c r="AC130" s="27" t="n">
        <f aca="false">IF(N(AE129)&lt;=0.005,0,N(AE129)*(1+N('Min gæld'!$D$11)/12))</f>
        <v>0</v>
      </c>
      <c r="AD130" s="27" t="n">
        <f aca="false">IF(AC130&lt;=0,0,MIN(AC130,N('Min gæld'!$E$11)+AB130))</f>
        <v>0</v>
      </c>
      <c r="AE130" s="27" t="n">
        <f aca="false">IF(AC130-AD130&lt;0.005,0,AC130-AD130)</f>
        <v>0</v>
      </c>
      <c r="AF130" s="27" t="n">
        <f aca="false">MAX(0,IF(N(AE129)&lt;=0.005,AB130,AB130+N('Min gæld'!$E$11)-AD130))</f>
        <v>4800</v>
      </c>
      <c r="AG130" s="27" t="n">
        <f aca="false">IF(N(AI129)&lt;=0.005,0,N(AI129)*(1+N('Min gæld'!$D$12)/12))</f>
        <v>0</v>
      </c>
      <c r="AH130" s="27" t="n">
        <f aca="false">IF(AG130&lt;=0,0,MIN(AG130,N('Min gæld'!$E$12)+AF130))</f>
        <v>0</v>
      </c>
      <c r="AI130" s="27" t="n">
        <f aca="false">IF(AG130-AH130&lt;0.005,0,AG130-AH130)</f>
        <v>0</v>
      </c>
      <c r="AJ130" s="27" t="n">
        <f aca="false">G130+K130+O130+S130+W130+AA130+AE130+AI130</f>
        <v>0</v>
      </c>
      <c r="AK130" s="28" t="n">
        <f aca="false">IF(E130&gt;0,E130-N(G129),0)+IF(I130&gt;0,I130-N(K129),0)+IF(M130&gt;0,M130-N(O129),0)+IF(Q130&gt;0,Q130-N(S129),0)+IF(U130&gt;0,U130-N(W129),0)+IF(Y130&gt;0,Y130-N(AA129),0)+IF(AC130&gt;0,AC130-N(AE129),0)+IF(AG130&gt;0,AG130-N(AI129),0)</f>
        <v>0</v>
      </c>
    </row>
    <row r="131" customFormat="false" ht="15" hidden="false" customHeight="false" outlineLevel="0" collapsed="false">
      <c r="A131" s="25" t="n">
        <v>126</v>
      </c>
      <c r="B131" s="26" t="n">
        <f aca="false">EDATE('Min gæld'!$C$16,125)</f>
        <v>50192</v>
      </c>
      <c r="C131" s="27" t="n">
        <f aca="false">N('Min gæld'!$C$15)+IF(N(G130)&lt;=0.005,N('Min gæld'!$E$5),0)+IF(N(K130)&lt;=0.005,N('Min gæld'!$E$6),0)+IF(N(O130)&lt;=0.005,N('Min gæld'!$E$7),0)+IF(N(S130)&lt;=0.005,N('Min gæld'!$E$8),0)+IF(N(W130)&lt;=0.005,N('Min gæld'!$E$9),0)+IF(N(AA130)&lt;=0.005,N('Min gæld'!$E$10),0)+IF(N(AE130)&lt;=0.005,N('Min gæld'!$E$11),0)+IF(N(AI130)&lt;=0.005,N('Min gæld'!$E$12),0)</f>
        <v>4800</v>
      </c>
      <c r="D131" s="27" t="n">
        <f aca="false">MAX(0,C131)</f>
        <v>4800</v>
      </c>
      <c r="E131" s="27" t="n">
        <f aca="false">IF(N(G130)&lt;=0.005,0,N(G130)*(1+N('Min gæld'!$D$5)/12))</f>
        <v>0</v>
      </c>
      <c r="F131" s="27" t="n">
        <f aca="false">IF(E131&lt;=0,0,MIN(E131,N('Min gæld'!$E$5)+D131))</f>
        <v>0</v>
      </c>
      <c r="G131" s="27" t="n">
        <f aca="false">IF(E131-F131&lt;0.005,0,E131-F131)</f>
        <v>0</v>
      </c>
      <c r="H131" s="27" t="n">
        <f aca="false">MAX(0,IF(N(G130)&lt;=0.005,D131,D131+N('Min gæld'!$E$5)-F131))</f>
        <v>4800</v>
      </c>
      <c r="I131" s="27" t="n">
        <f aca="false">IF(N(K130)&lt;=0.005,0,N(K130)*(1+N('Min gæld'!$D$6)/12))</f>
        <v>0</v>
      </c>
      <c r="J131" s="27" t="n">
        <f aca="false">IF(I131&lt;=0,0,MIN(I131,N('Min gæld'!$E$6)+H131))</f>
        <v>0</v>
      </c>
      <c r="K131" s="27" t="n">
        <f aca="false">IF(I131-J131&lt;0.005,0,I131-J131)</f>
        <v>0</v>
      </c>
      <c r="L131" s="27" t="n">
        <f aca="false">MAX(0,IF(N(K130)&lt;=0.005,H131,H131+N('Min gæld'!$E$6)-J131))</f>
        <v>4800</v>
      </c>
      <c r="M131" s="27" t="n">
        <f aca="false">IF(N(O130)&lt;=0.005,0,N(O130)*(1+N('Min gæld'!$D$7)/12))</f>
        <v>0</v>
      </c>
      <c r="N131" s="27" t="n">
        <f aca="false">IF(M131&lt;=0,0,MIN(M131,N('Min gæld'!$E$7)+L131))</f>
        <v>0</v>
      </c>
      <c r="O131" s="27" t="n">
        <f aca="false">IF(M131-N131&lt;0.005,0,M131-N131)</f>
        <v>0</v>
      </c>
      <c r="P131" s="27" t="n">
        <f aca="false">MAX(0,IF(N(O130)&lt;=0.005,L131,L131+N('Min gæld'!$E$7)-N131))</f>
        <v>4800</v>
      </c>
      <c r="Q131" s="27" t="n">
        <f aca="false">IF(N(S130)&lt;=0.005,0,N(S130)*(1+N('Min gæld'!$D$8)/12))</f>
        <v>0</v>
      </c>
      <c r="R131" s="27" t="n">
        <f aca="false">IF(Q131&lt;=0,0,MIN(Q131,N('Min gæld'!$E$8)+P131))</f>
        <v>0</v>
      </c>
      <c r="S131" s="27" t="n">
        <f aca="false">IF(Q131-R131&lt;0.005,0,Q131-R131)</f>
        <v>0</v>
      </c>
      <c r="T131" s="27" t="n">
        <f aca="false">MAX(0,IF(N(S130)&lt;=0.005,P131,P131+N('Min gæld'!$E$8)-R131))</f>
        <v>4800</v>
      </c>
      <c r="U131" s="27" t="n">
        <f aca="false">IF(N(W130)&lt;=0.005,0,N(W130)*(1+N('Min gæld'!$D$9)/12))</f>
        <v>0</v>
      </c>
      <c r="V131" s="27" t="n">
        <f aca="false">IF(U131&lt;=0,0,MIN(U131,N('Min gæld'!$E$9)+T131))</f>
        <v>0</v>
      </c>
      <c r="W131" s="27" t="n">
        <f aca="false">IF(U131-V131&lt;0.005,0,U131-V131)</f>
        <v>0</v>
      </c>
      <c r="X131" s="27" t="n">
        <f aca="false">MAX(0,IF(N(W130)&lt;=0.005,T131,T131+N('Min gæld'!$E$9)-V131))</f>
        <v>4800</v>
      </c>
      <c r="Y131" s="27" t="n">
        <f aca="false">IF(N(AA130)&lt;=0.005,0,N(AA130)*(1+N('Min gæld'!$D$10)/12))</f>
        <v>0</v>
      </c>
      <c r="Z131" s="27" t="n">
        <f aca="false">IF(Y131&lt;=0,0,MIN(Y131,N('Min gæld'!$E$10)+X131))</f>
        <v>0</v>
      </c>
      <c r="AA131" s="27" t="n">
        <f aca="false">IF(Y131-Z131&lt;0.005,0,Y131-Z131)</f>
        <v>0</v>
      </c>
      <c r="AB131" s="27" t="n">
        <f aca="false">MAX(0,IF(N(AA130)&lt;=0.005,X131,X131+N('Min gæld'!$E$10)-Z131))</f>
        <v>4800</v>
      </c>
      <c r="AC131" s="27" t="n">
        <f aca="false">IF(N(AE130)&lt;=0.005,0,N(AE130)*(1+N('Min gæld'!$D$11)/12))</f>
        <v>0</v>
      </c>
      <c r="AD131" s="27" t="n">
        <f aca="false">IF(AC131&lt;=0,0,MIN(AC131,N('Min gæld'!$E$11)+AB131))</f>
        <v>0</v>
      </c>
      <c r="AE131" s="27" t="n">
        <f aca="false">IF(AC131-AD131&lt;0.005,0,AC131-AD131)</f>
        <v>0</v>
      </c>
      <c r="AF131" s="27" t="n">
        <f aca="false">MAX(0,IF(N(AE130)&lt;=0.005,AB131,AB131+N('Min gæld'!$E$11)-AD131))</f>
        <v>4800</v>
      </c>
      <c r="AG131" s="27" t="n">
        <f aca="false">IF(N(AI130)&lt;=0.005,0,N(AI130)*(1+N('Min gæld'!$D$12)/12))</f>
        <v>0</v>
      </c>
      <c r="AH131" s="27" t="n">
        <f aca="false">IF(AG131&lt;=0,0,MIN(AG131,N('Min gæld'!$E$12)+AF131))</f>
        <v>0</v>
      </c>
      <c r="AI131" s="27" t="n">
        <f aca="false">IF(AG131-AH131&lt;0.005,0,AG131-AH131)</f>
        <v>0</v>
      </c>
      <c r="AJ131" s="27" t="n">
        <f aca="false">G131+K131+O131+S131+W131+AA131+AE131+AI131</f>
        <v>0</v>
      </c>
      <c r="AK131" s="28" t="n">
        <f aca="false">IF(E131&gt;0,E131-N(G130),0)+IF(I131&gt;0,I131-N(K130),0)+IF(M131&gt;0,M131-N(O130),0)+IF(Q131&gt;0,Q131-N(S130),0)+IF(U131&gt;0,U131-N(W130),0)+IF(Y131&gt;0,Y131-N(AA130),0)+IF(AC131&gt;0,AC131-N(AE130),0)+IF(AG131&gt;0,AG131-N(AI130),0)</f>
        <v>0</v>
      </c>
    </row>
    <row r="132" customFormat="false" ht="15" hidden="false" customHeight="false" outlineLevel="0" collapsed="false">
      <c r="A132" s="25" t="n">
        <v>127</v>
      </c>
      <c r="B132" s="26" t="n">
        <f aca="false">EDATE('Min gæld'!$C$16,126)</f>
        <v>50222</v>
      </c>
      <c r="C132" s="27" t="n">
        <f aca="false">N('Min gæld'!$C$15)+IF(N(G131)&lt;=0.005,N('Min gæld'!$E$5),0)+IF(N(K131)&lt;=0.005,N('Min gæld'!$E$6),0)+IF(N(O131)&lt;=0.005,N('Min gæld'!$E$7),0)+IF(N(S131)&lt;=0.005,N('Min gæld'!$E$8),0)+IF(N(W131)&lt;=0.005,N('Min gæld'!$E$9),0)+IF(N(AA131)&lt;=0.005,N('Min gæld'!$E$10),0)+IF(N(AE131)&lt;=0.005,N('Min gæld'!$E$11),0)+IF(N(AI131)&lt;=0.005,N('Min gæld'!$E$12),0)</f>
        <v>4800</v>
      </c>
      <c r="D132" s="27" t="n">
        <f aca="false">MAX(0,C132)</f>
        <v>4800</v>
      </c>
      <c r="E132" s="27" t="n">
        <f aca="false">IF(N(G131)&lt;=0.005,0,N(G131)*(1+N('Min gæld'!$D$5)/12))</f>
        <v>0</v>
      </c>
      <c r="F132" s="27" t="n">
        <f aca="false">IF(E132&lt;=0,0,MIN(E132,N('Min gæld'!$E$5)+D132))</f>
        <v>0</v>
      </c>
      <c r="G132" s="27" t="n">
        <f aca="false">IF(E132-F132&lt;0.005,0,E132-F132)</f>
        <v>0</v>
      </c>
      <c r="H132" s="27" t="n">
        <f aca="false">MAX(0,IF(N(G131)&lt;=0.005,D132,D132+N('Min gæld'!$E$5)-F132))</f>
        <v>4800</v>
      </c>
      <c r="I132" s="27" t="n">
        <f aca="false">IF(N(K131)&lt;=0.005,0,N(K131)*(1+N('Min gæld'!$D$6)/12))</f>
        <v>0</v>
      </c>
      <c r="J132" s="27" t="n">
        <f aca="false">IF(I132&lt;=0,0,MIN(I132,N('Min gæld'!$E$6)+H132))</f>
        <v>0</v>
      </c>
      <c r="K132" s="27" t="n">
        <f aca="false">IF(I132-J132&lt;0.005,0,I132-J132)</f>
        <v>0</v>
      </c>
      <c r="L132" s="27" t="n">
        <f aca="false">MAX(0,IF(N(K131)&lt;=0.005,H132,H132+N('Min gæld'!$E$6)-J132))</f>
        <v>4800</v>
      </c>
      <c r="M132" s="27" t="n">
        <f aca="false">IF(N(O131)&lt;=0.005,0,N(O131)*(1+N('Min gæld'!$D$7)/12))</f>
        <v>0</v>
      </c>
      <c r="N132" s="27" t="n">
        <f aca="false">IF(M132&lt;=0,0,MIN(M132,N('Min gæld'!$E$7)+L132))</f>
        <v>0</v>
      </c>
      <c r="O132" s="27" t="n">
        <f aca="false">IF(M132-N132&lt;0.005,0,M132-N132)</f>
        <v>0</v>
      </c>
      <c r="P132" s="27" t="n">
        <f aca="false">MAX(0,IF(N(O131)&lt;=0.005,L132,L132+N('Min gæld'!$E$7)-N132))</f>
        <v>4800</v>
      </c>
      <c r="Q132" s="27" t="n">
        <f aca="false">IF(N(S131)&lt;=0.005,0,N(S131)*(1+N('Min gæld'!$D$8)/12))</f>
        <v>0</v>
      </c>
      <c r="R132" s="27" t="n">
        <f aca="false">IF(Q132&lt;=0,0,MIN(Q132,N('Min gæld'!$E$8)+P132))</f>
        <v>0</v>
      </c>
      <c r="S132" s="27" t="n">
        <f aca="false">IF(Q132-R132&lt;0.005,0,Q132-R132)</f>
        <v>0</v>
      </c>
      <c r="T132" s="27" t="n">
        <f aca="false">MAX(0,IF(N(S131)&lt;=0.005,P132,P132+N('Min gæld'!$E$8)-R132))</f>
        <v>4800</v>
      </c>
      <c r="U132" s="27" t="n">
        <f aca="false">IF(N(W131)&lt;=0.005,0,N(W131)*(1+N('Min gæld'!$D$9)/12))</f>
        <v>0</v>
      </c>
      <c r="V132" s="27" t="n">
        <f aca="false">IF(U132&lt;=0,0,MIN(U132,N('Min gæld'!$E$9)+T132))</f>
        <v>0</v>
      </c>
      <c r="W132" s="27" t="n">
        <f aca="false">IF(U132-V132&lt;0.005,0,U132-V132)</f>
        <v>0</v>
      </c>
      <c r="X132" s="27" t="n">
        <f aca="false">MAX(0,IF(N(W131)&lt;=0.005,T132,T132+N('Min gæld'!$E$9)-V132))</f>
        <v>4800</v>
      </c>
      <c r="Y132" s="27" t="n">
        <f aca="false">IF(N(AA131)&lt;=0.005,0,N(AA131)*(1+N('Min gæld'!$D$10)/12))</f>
        <v>0</v>
      </c>
      <c r="Z132" s="27" t="n">
        <f aca="false">IF(Y132&lt;=0,0,MIN(Y132,N('Min gæld'!$E$10)+X132))</f>
        <v>0</v>
      </c>
      <c r="AA132" s="27" t="n">
        <f aca="false">IF(Y132-Z132&lt;0.005,0,Y132-Z132)</f>
        <v>0</v>
      </c>
      <c r="AB132" s="27" t="n">
        <f aca="false">MAX(0,IF(N(AA131)&lt;=0.005,X132,X132+N('Min gæld'!$E$10)-Z132))</f>
        <v>4800</v>
      </c>
      <c r="AC132" s="27" t="n">
        <f aca="false">IF(N(AE131)&lt;=0.005,0,N(AE131)*(1+N('Min gæld'!$D$11)/12))</f>
        <v>0</v>
      </c>
      <c r="AD132" s="27" t="n">
        <f aca="false">IF(AC132&lt;=0,0,MIN(AC132,N('Min gæld'!$E$11)+AB132))</f>
        <v>0</v>
      </c>
      <c r="AE132" s="27" t="n">
        <f aca="false">IF(AC132-AD132&lt;0.005,0,AC132-AD132)</f>
        <v>0</v>
      </c>
      <c r="AF132" s="27" t="n">
        <f aca="false">MAX(0,IF(N(AE131)&lt;=0.005,AB132,AB132+N('Min gæld'!$E$11)-AD132))</f>
        <v>4800</v>
      </c>
      <c r="AG132" s="27" t="n">
        <f aca="false">IF(N(AI131)&lt;=0.005,0,N(AI131)*(1+N('Min gæld'!$D$12)/12))</f>
        <v>0</v>
      </c>
      <c r="AH132" s="27" t="n">
        <f aca="false">IF(AG132&lt;=0,0,MIN(AG132,N('Min gæld'!$E$12)+AF132))</f>
        <v>0</v>
      </c>
      <c r="AI132" s="27" t="n">
        <f aca="false">IF(AG132-AH132&lt;0.005,0,AG132-AH132)</f>
        <v>0</v>
      </c>
      <c r="AJ132" s="27" t="n">
        <f aca="false">G132+K132+O132+S132+W132+AA132+AE132+AI132</f>
        <v>0</v>
      </c>
      <c r="AK132" s="28" t="n">
        <f aca="false">IF(E132&gt;0,E132-N(G131),0)+IF(I132&gt;0,I132-N(K131),0)+IF(M132&gt;0,M132-N(O131),0)+IF(Q132&gt;0,Q132-N(S131),0)+IF(U132&gt;0,U132-N(W131),0)+IF(Y132&gt;0,Y132-N(AA131),0)+IF(AC132&gt;0,AC132-N(AE131),0)+IF(AG132&gt;0,AG132-N(AI131),0)</f>
        <v>0</v>
      </c>
    </row>
    <row r="133" customFormat="false" ht="15" hidden="false" customHeight="false" outlineLevel="0" collapsed="false">
      <c r="A133" s="25" t="n">
        <v>128</v>
      </c>
      <c r="B133" s="26" t="n">
        <f aca="false">EDATE('Min gæld'!$C$16,127)</f>
        <v>50253</v>
      </c>
      <c r="C133" s="27" t="n">
        <f aca="false">N('Min gæld'!$C$15)+IF(N(G132)&lt;=0.005,N('Min gæld'!$E$5),0)+IF(N(K132)&lt;=0.005,N('Min gæld'!$E$6),0)+IF(N(O132)&lt;=0.005,N('Min gæld'!$E$7),0)+IF(N(S132)&lt;=0.005,N('Min gæld'!$E$8),0)+IF(N(W132)&lt;=0.005,N('Min gæld'!$E$9),0)+IF(N(AA132)&lt;=0.005,N('Min gæld'!$E$10),0)+IF(N(AE132)&lt;=0.005,N('Min gæld'!$E$11),0)+IF(N(AI132)&lt;=0.005,N('Min gæld'!$E$12),0)</f>
        <v>4800</v>
      </c>
      <c r="D133" s="27" t="n">
        <f aca="false">MAX(0,C133)</f>
        <v>4800</v>
      </c>
      <c r="E133" s="27" t="n">
        <f aca="false">IF(N(G132)&lt;=0.005,0,N(G132)*(1+N('Min gæld'!$D$5)/12))</f>
        <v>0</v>
      </c>
      <c r="F133" s="27" t="n">
        <f aca="false">IF(E133&lt;=0,0,MIN(E133,N('Min gæld'!$E$5)+D133))</f>
        <v>0</v>
      </c>
      <c r="G133" s="27" t="n">
        <f aca="false">IF(E133-F133&lt;0.005,0,E133-F133)</f>
        <v>0</v>
      </c>
      <c r="H133" s="27" t="n">
        <f aca="false">MAX(0,IF(N(G132)&lt;=0.005,D133,D133+N('Min gæld'!$E$5)-F133))</f>
        <v>4800</v>
      </c>
      <c r="I133" s="27" t="n">
        <f aca="false">IF(N(K132)&lt;=0.005,0,N(K132)*(1+N('Min gæld'!$D$6)/12))</f>
        <v>0</v>
      </c>
      <c r="J133" s="27" t="n">
        <f aca="false">IF(I133&lt;=0,0,MIN(I133,N('Min gæld'!$E$6)+H133))</f>
        <v>0</v>
      </c>
      <c r="K133" s="27" t="n">
        <f aca="false">IF(I133-J133&lt;0.005,0,I133-J133)</f>
        <v>0</v>
      </c>
      <c r="L133" s="27" t="n">
        <f aca="false">MAX(0,IF(N(K132)&lt;=0.005,H133,H133+N('Min gæld'!$E$6)-J133))</f>
        <v>4800</v>
      </c>
      <c r="M133" s="27" t="n">
        <f aca="false">IF(N(O132)&lt;=0.005,0,N(O132)*(1+N('Min gæld'!$D$7)/12))</f>
        <v>0</v>
      </c>
      <c r="N133" s="27" t="n">
        <f aca="false">IF(M133&lt;=0,0,MIN(M133,N('Min gæld'!$E$7)+L133))</f>
        <v>0</v>
      </c>
      <c r="O133" s="27" t="n">
        <f aca="false">IF(M133-N133&lt;0.005,0,M133-N133)</f>
        <v>0</v>
      </c>
      <c r="P133" s="27" t="n">
        <f aca="false">MAX(0,IF(N(O132)&lt;=0.005,L133,L133+N('Min gæld'!$E$7)-N133))</f>
        <v>4800</v>
      </c>
      <c r="Q133" s="27" t="n">
        <f aca="false">IF(N(S132)&lt;=0.005,0,N(S132)*(1+N('Min gæld'!$D$8)/12))</f>
        <v>0</v>
      </c>
      <c r="R133" s="27" t="n">
        <f aca="false">IF(Q133&lt;=0,0,MIN(Q133,N('Min gæld'!$E$8)+P133))</f>
        <v>0</v>
      </c>
      <c r="S133" s="27" t="n">
        <f aca="false">IF(Q133-R133&lt;0.005,0,Q133-R133)</f>
        <v>0</v>
      </c>
      <c r="T133" s="27" t="n">
        <f aca="false">MAX(0,IF(N(S132)&lt;=0.005,P133,P133+N('Min gæld'!$E$8)-R133))</f>
        <v>4800</v>
      </c>
      <c r="U133" s="27" t="n">
        <f aca="false">IF(N(W132)&lt;=0.005,0,N(W132)*(1+N('Min gæld'!$D$9)/12))</f>
        <v>0</v>
      </c>
      <c r="V133" s="27" t="n">
        <f aca="false">IF(U133&lt;=0,0,MIN(U133,N('Min gæld'!$E$9)+T133))</f>
        <v>0</v>
      </c>
      <c r="W133" s="27" t="n">
        <f aca="false">IF(U133-V133&lt;0.005,0,U133-V133)</f>
        <v>0</v>
      </c>
      <c r="X133" s="27" t="n">
        <f aca="false">MAX(0,IF(N(W132)&lt;=0.005,T133,T133+N('Min gæld'!$E$9)-V133))</f>
        <v>4800</v>
      </c>
      <c r="Y133" s="27" t="n">
        <f aca="false">IF(N(AA132)&lt;=0.005,0,N(AA132)*(1+N('Min gæld'!$D$10)/12))</f>
        <v>0</v>
      </c>
      <c r="Z133" s="27" t="n">
        <f aca="false">IF(Y133&lt;=0,0,MIN(Y133,N('Min gæld'!$E$10)+X133))</f>
        <v>0</v>
      </c>
      <c r="AA133" s="27" t="n">
        <f aca="false">IF(Y133-Z133&lt;0.005,0,Y133-Z133)</f>
        <v>0</v>
      </c>
      <c r="AB133" s="27" t="n">
        <f aca="false">MAX(0,IF(N(AA132)&lt;=0.005,X133,X133+N('Min gæld'!$E$10)-Z133))</f>
        <v>4800</v>
      </c>
      <c r="AC133" s="27" t="n">
        <f aca="false">IF(N(AE132)&lt;=0.005,0,N(AE132)*(1+N('Min gæld'!$D$11)/12))</f>
        <v>0</v>
      </c>
      <c r="AD133" s="27" t="n">
        <f aca="false">IF(AC133&lt;=0,0,MIN(AC133,N('Min gæld'!$E$11)+AB133))</f>
        <v>0</v>
      </c>
      <c r="AE133" s="27" t="n">
        <f aca="false">IF(AC133-AD133&lt;0.005,0,AC133-AD133)</f>
        <v>0</v>
      </c>
      <c r="AF133" s="27" t="n">
        <f aca="false">MAX(0,IF(N(AE132)&lt;=0.005,AB133,AB133+N('Min gæld'!$E$11)-AD133))</f>
        <v>4800</v>
      </c>
      <c r="AG133" s="27" t="n">
        <f aca="false">IF(N(AI132)&lt;=0.005,0,N(AI132)*(1+N('Min gæld'!$D$12)/12))</f>
        <v>0</v>
      </c>
      <c r="AH133" s="27" t="n">
        <f aca="false">IF(AG133&lt;=0,0,MIN(AG133,N('Min gæld'!$E$12)+AF133))</f>
        <v>0</v>
      </c>
      <c r="AI133" s="27" t="n">
        <f aca="false">IF(AG133-AH133&lt;0.005,0,AG133-AH133)</f>
        <v>0</v>
      </c>
      <c r="AJ133" s="27" t="n">
        <f aca="false">G133+K133+O133+S133+W133+AA133+AE133+AI133</f>
        <v>0</v>
      </c>
      <c r="AK133" s="28" t="n">
        <f aca="false">IF(E133&gt;0,E133-N(G132),0)+IF(I133&gt;0,I133-N(K132),0)+IF(M133&gt;0,M133-N(O132),0)+IF(Q133&gt;0,Q133-N(S132),0)+IF(U133&gt;0,U133-N(W132),0)+IF(Y133&gt;0,Y133-N(AA132),0)+IF(AC133&gt;0,AC133-N(AE132),0)+IF(AG133&gt;0,AG133-N(AI132),0)</f>
        <v>0</v>
      </c>
    </row>
    <row r="134" customFormat="false" ht="15" hidden="false" customHeight="false" outlineLevel="0" collapsed="false">
      <c r="A134" s="25" t="n">
        <v>129</v>
      </c>
      <c r="B134" s="26" t="n">
        <f aca="false">EDATE('Min gæld'!$C$16,128)</f>
        <v>50284</v>
      </c>
      <c r="C134" s="27" t="n">
        <f aca="false">N('Min gæld'!$C$15)+IF(N(G133)&lt;=0.005,N('Min gæld'!$E$5),0)+IF(N(K133)&lt;=0.005,N('Min gæld'!$E$6),0)+IF(N(O133)&lt;=0.005,N('Min gæld'!$E$7),0)+IF(N(S133)&lt;=0.005,N('Min gæld'!$E$8),0)+IF(N(W133)&lt;=0.005,N('Min gæld'!$E$9),0)+IF(N(AA133)&lt;=0.005,N('Min gæld'!$E$10),0)+IF(N(AE133)&lt;=0.005,N('Min gæld'!$E$11),0)+IF(N(AI133)&lt;=0.005,N('Min gæld'!$E$12),0)</f>
        <v>4800</v>
      </c>
      <c r="D134" s="27" t="n">
        <f aca="false">MAX(0,C134)</f>
        <v>4800</v>
      </c>
      <c r="E134" s="27" t="n">
        <f aca="false">IF(N(G133)&lt;=0.005,0,N(G133)*(1+N('Min gæld'!$D$5)/12))</f>
        <v>0</v>
      </c>
      <c r="F134" s="27" t="n">
        <f aca="false">IF(E134&lt;=0,0,MIN(E134,N('Min gæld'!$E$5)+D134))</f>
        <v>0</v>
      </c>
      <c r="G134" s="27" t="n">
        <f aca="false">IF(E134-F134&lt;0.005,0,E134-F134)</f>
        <v>0</v>
      </c>
      <c r="H134" s="27" t="n">
        <f aca="false">MAX(0,IF(N(G133)&lt;=0.005,D134,D134+N('Min gæld'!$E$5)-F134))</f>
        <v>4800</v>
      </c>
      <c r="I134" s="27" t="n">
        <f aca="false">IF(N(K133)&lt;=0.005,0,N(K133)*(1+N('Min gæld'!$D$6)/12))</f>
        <v>0</v>
      </c>
      <c r="J134" s="27" t="n">
        <f aca="false">IF(I134&lt;=0,0,MIN(I134,N('Min gæld'!$E$6)+H134))</f>
        <v>0</v>
      </c>
      <c r="K134" s="27" t="n">
        <f aca="false">IF(I134-J134&lt;0.005,0,I134-J134)</f>
        <v>0</v>
      </c>
      <c r="L134" s="27" t="n">
        <f aca="false">MAX(0,IF(N(K133)&lt;=0.005,H134,H134+N('Min gæld'!$E$6)-J134))</f>
        <v>4800</v>
      </c>
      <c r="M134" s="27" t="n">
        <f aca="false">IF(N(O133)&lt;=0.005,0,N(O133)*(1+N('Min gæld'!$D$7)/12))</f>
        <v>0</v>
      </c>
      <c r="N134" s="27" t="n">
        <f aca="false">IF(M134&lt;=0,0,MIN(M134,N('Min gæld'!$E$7)+L134))</f>
        <v>0</v>
      </c>
      <c r="O134" s="27" t="n">
        <f aca="false">IF(M134-N134&lt;0.005,0,M134-N134)</f>
        <v>0</v>
      </c>
      <c r="P134" s="27" t="n">
        <f aca="false">MAX(0,IF(N(O133)&lt;=0.005,L134,L134+N('Min gæld'!$E$7)-N134))</f>
        <v>4800</v>
      </c>
      <c r="Q134" s="27" t="n">
        <f aca="false">IF(N(S133)&lt;=0.005,0,N(S133)*(1+N('Min gæld'!$D$8)/12))</f>
        <v>0</v>
      </c>
      <c r="R134" s="27" t="n">
        <f aca="false">IF(Q134&lt;=0,0,MIN(Q134,N('Min gæld'!$E$8)+P134))</f>
        <v>0</v>
      </c>
      <c r="S134" s="27" t="n">
        <f aca="false">IF(Q134-R134&lt;0.005,0,Q134-R134)</f>
        <v>0</v>
      </c>
      <c r="T134" s="27" t="n">
        <f aca="false">MAX(0,IF(N(S133)&lt;=0.005,P134,P134+N('Min gæld'!$E$8)-R134))</f>
        <v>4800</v>
      </c>
      <c r="U134" s="27" t="n">
        <f aca="false">IF(N(W133)&lt;=0.005,0,N(W133)*(1+N('Min gæld'!$D$9)/12))</f>
        <v>0</v>
      </c>
      <c r="V134" s="27" t="n">
        <f aca="false">IF(U134&lt;=0,0,MIN(U134,N('Min gæld'!$E$9)+T134))</f>
        <v>0</v>
      </c>
      <c r="W134" s="27" t="n">
        <f aca="false">IF(U134-V134&lt;0.005,0,U134-V134)</f>
        <v>0</v>
      </c>
      <c r="X134" s="27" t="n">
        <f aca="false">MAX(0,IF(N(W133)&lt;=0.005,T134,T134+N('Min gæld'!$E$9)-V134))</f>
        <v>4800</v>
      </c>
      <c r="Y134" s="27" t="n">
        <f aca="false">IF(N(AA133)&lt;=0.005,0,N(AA133)*(1+N('Min gæld'!$D$10)/12))</f>
        <v>0</v>
      </c>
      <c r="Z134" s="27" t="n">
        <f aca="false">IF(Y134&lt;=0,0,MIN(Y134,N('Min gæld'!$E$10)+X134))</f>
        <v>0</v>
      </c>
      <c r="AA134" s="27" t="n">
        <f aca="false">IF(Y134-Z134&lt;0.005,0,Y134-Z134)</f>
        <v>0</v>
      </c>
      <c r="AB134" s="27" t="n">
        <f aca="false">MAX(0,IF(N(AA133)&lt;=0.005,X134,X134+N('Min gæld'!$E$10)-Z134))</f>
        <v>4800</v>
      </c>
      <c r="AC134" s="27" t="n">
        <f aca="false">IF(N(AE133)&lt;=0.005,0,N(AE133)*(1+N('Min gæld'!$D$11)/12))</f>
        <v>0</v>
      </c>
      <c r="AD134" s="27" t="n">
        <f aca="false">IF(AC134&lt;=0,0,MIN(AC134,N('Min gæld'!$E$11)+AB134))</f>
        <v>0</v>
      </c>
      <c r="AE134" s="27" t="n">
        <f aca="false">IF(AC134-AD134&lt;0.005,0,AC134-AD134)</f>
        <v>0</v>
      </c>
      <c r="AF134" s="27" t="n">
        <f aca="false">MAX(0,IF(N(AE133)&lt;=0.005,AB134,AB134+N('Min gæld'!$E$11)-AD134))</f>
        <v>4800</v>
      </c>
      <c r="AG134" s="27" t="n">
        <f aca="false">IF(N(AI133)&lt;=0.005,0,N(AI133)*(1+N('Min gæld'!$D$12)/12))</f>
        <v>0</v>
      </c>
      <c r="AH134" s="27" t="n">
        <f aca="false">IF(AG134&lt;=0,0,MIN(AG134,N('Min gæld'!$E$12)+AF134))</f>
        <v>0</v>
      </c>
      <c r="AI134" s="27" t="n">
        <f aca="false">IF(AG134-AH134&lt;0.005,0,AG134-AH134)</f>
        <v>0</v>
      </c>
      <c r="AJ134" s="27" t="n">
        <f aca="false">G134+K134+O134+S134+W134+AA134+AE134+AI134</f>
        <v>0</v>
      </c>
      <c r="AK134" s="28" t="n">
        <f aca="false">IF(E134&gt;0,E134-N(G133),0)+IF(I134&gt;0,I134-N(K133),0)+IF(M134&gt;0,M134-N(O133),0)+IF(Q134&gt;0,Q134-N(S133),0)+IF(U134&gt;0,U134-N(W133),0)+IF(Y134&gt;0,Y134-N(AA133),0)+IF(AC134&gt;0,AC134-N(AE133),0)+IF(AG134&gt;0,AG134-N(AI133),0)</f>
        <v>0</v>
      </c>
    </row>
    <row r="135" customFormat="false" ht="15" hidden="false" customHeight="false" outlineLevel="0" collapsed="false">
      <c r="A135" s="25" t="n">
        <v>130</v>
      </c>
      <c r="B135" s="26" t="n">
        <f aca="false">EDATE('Min gæld'!$C$16,129)</f>
        <v>50314</v>
      </c>
      <c r="C135" s="27" t="n">
        <f aca="false">N('Min gæld'!$C$15)+IF(N(G134)&lt;=0.005,N('Min gæld'!$E$5),0)+IF(N(K134)&lt;=0.005,N('Min gæld'!$E$6),0)+IF(N(O134)&lt;=0.005,N('Min gæld'!$E$7),0)+IF(N(S134)&lt;=0.005,N('Min gæld'!$E$8),0)+IF(N(W134)&lt;=0.005,N('Min gæld'!$E$9),0)+IF(N(AA134)&lt;=0.005,N('Min gæld'!$E$10),0)+IF(N(AE134)&lt;=0.005,N('Min gæld'!$E$11),0)+IF(N(AI134)&lt;=0.005,N('Min gæld'!$E$12),0)</f>
        <v>4800</v>
      </c>
      <c r="D135" s="27" t="n">
        <f aca="false">MAX(0,C135)</f>
        <v>4800</v>
      </c>
      <c r="E135" s="27" t="n">
        <f aca="false">IF(N(G134)&lt;=0.005,0,N(G134)*(1+N('Min gæld'!$D$5)/12))</f>
        <v>0</v>
      </c>
      <c r="F135" s="27" t="n">
        <f aca="false">IF(E135&lt;=0,0,MIN(E135,N('Min gæld'!$E$5)+D135))</f>
        <v>0</v>
      </c>
      <c r="G135" s="27" t="n">
        <f aca="false">IF(E135-F135&lt;0.005,0,E135-F135)</f>
        <v>0</v>
      </c>
      <c r="H135" s="27" t="n">
        <f aca="false">MAX(0,IF(N(G134)&lt;=0.005,D135,D135+N('Min gæld'!$E$5)-F135))</f>
        <v>4800</v>
      </c>
      <c r="I135" s="27" t="n">
        <f aca="false">IF(N(K134)&lt;=0.005,0,N(K134)*(1+N('Min gæld'!$D$6)/12))</f>
        <v>0</v>
      </c>
      <c r="J135" s="27" t="n">
        <f aca="false">IF(I135&lt;=0,0,MIN(I135,N('Min gæld'!$E$6)+H135))</f>
        <v>0</v>
      </c>
      <c r="K135" s="27" t="n">
        <f aca="false">IF(I135-J135&lt;0.005,0,I135-J135)</f>
        <v>0</v>
      </c>
      <c r="L135" s="27" t="n">
        <f aca="false">MAX(0,IF(N(K134)&lt;=0.005,H135,H135+N('Min gæld'!$E$6)-J135))</f>
        <v>4800</v>
      </c>
      <c r="M135" s="27" t="n">
        <f aca="false">IF(N(O134)&lt;=0.005,0,N(O134)*(1+N('Min gæld'!$D$7)/12))</f>
        <v>0</v>
      </c>
      <c r="N135" s="27" t="n">
        <f aca="false">IF(M135&lt;=0,0,MIN(M135,N('Min gæld'!$E$7)+L135))</f>
        <v>0</v>
      </c>
      <c r="O135" s="27" t="n">
        <f aca="false">IF(M135-N135&lt;0.005,0,M135-N135)</f>
        <v>0</v>
      </c>
      <c r="P135" s="27" t="n">
        <f aca="false">MAX(0,IF(N(O134)&lt;=0.005,L135,L135+N('Min gæld'!$E$7)-N135))</f>
        <v>4800</v>
      </c>
      <c r="Q135" s="27" t="n">
        <f aca="false">IF(N(S134)&lt;=0.005,0,N(S134)*(1+N('Min gæld'!$D$8)/12))</f>
        <v>0</v>
      </c>
      <c r="R135" s="27" t="n">
        <f aca="false">IF(Q135&lt;=0,0,MIN(Q135,N('Min gæld'!$E$8)+P135))</f>
        <v>0</v>
      </c>
      <c r="S135" s="27" t="n">
        <f aca="false">IF(Q135-R135&lt;0.005,0,Q135-R135)</f>
        <v>0</v>
      </c>
      <c r="T135" s="27" t="n">
        <f aca="false">MAX(0,IF(N(S134)&lt;=0.005,P135,P135+N('Min gæld'!$E$8)-R135))</f>
        <v>4800</v>
      </c>
      <c r="U135" s="27" t="n">
        <f aca="false">IF(N(W134)&lt;=0.005,0,N(W134)*(1+N('Min gæld'!$D$9)/12))</f>
        <v>0</v>
      </c>
      <c r="V135" s="27" t="n">
        <f aca="false">IF(U135&lt;=0,0,MIN(U135,N('Min gæld'!$E$9)+T135))</f>
        <v>0</v>
      </c>
      <c r="W135" s="27" t="n">
        <f aca="false">IF(U135-V135&lt;0.005,0,U135-V135)</f>
        <v>0</v>
      </c>
      <c r="X135" s="27" t="n">
        <f aca="false">MAX(0,IF(N(W134)&lt;=0.005,T135,T135+N('Min gæld'!$E$9)-V135))</f>
        <v>4800</v>
      </c>
      <c r="Y135" s="27" t="n">
        <f aca="false">IF(N(AA134)&lt;=0.005,0,N(AA134)*(1+N('Min gæld'!$D$10)/12))</f>
        <v>0</v>
      </c>
      <c r="Z135" s="27" t="n">
        <f aca="false">IF(Y135&lt;=0,0,MIN(Y135,N('Min gæld'!$E$10)+X135))</f>
        <v>0</v>
      </c>
      <c r="AA135" s="27" t="n">
        <f aca="false">IF(Y135-Z135&lt;0.005,0,Y135-Z135)</f>
        <v>0</v>
      </c>
      <c r="AB135" s="27" t="n">
        <f aca="false">MAX(0,IF(N(AA134)&lt;=0.005,X135,X135+N('Min gæld'!$E$10)-Z135))</f>
        <v>4800</v>
      </c>
      <c r="AC135" s="27" t="n">
        <f aca="false">IF(N(AE134)&lt;=0.005,0,N(AE134)*(1+N('Min gæld'!$D$11)/12))</f>
        <v>0</v>
      </c>
      <c r="AD135" s="27" t="n">
        <f aca="false">IF(AC135&lt;=0,0,MIN(AC135,N('Min gæld'!$E$11)+AB135))</f>
        <v>0</v>
      </c>
      <c r="AE135" s="27" t="n">
        <f aca="false">IF(AC135-AD135&lt;0.005,0,AC135-AD135)</f>
        <v>0</v>
      </c>
      <c r="AF135" s="27" t="n">
        <f aca="false">MAX(0,IF(N(AE134)&lt;=0.005,AB135,AB135+N('Min gæld'!$E$11)-AD135))</f>
        <v>4800</v>
      </c>
      <c r="AG135" s="27" t="n">
        <f aca="false">IF(N(AI134)&lt;=0.005,0,N(AI134)*(1+N('Min gæld'!$D$12)/12))</f>
        <v>0</v>
      </c>
      <c r="AH135" s="27" t="n">
        <f aca="false">IF(AG135&lt;=0,0,MIN(AG135,N('Min gæld'!$E$12)+AF135))</f>
        <v>0</v>
      </c>
      <c r="AI135" s="27" t="n">
        <f aca="false">IF(AG135-AH135&lt;0.005,0,AG135-AH135)</f>
        <v>0</v>
      </c>
      <c r="AJ135" s="27" t="n">
        <f aca="false">G135+K135+O135+S135+W135+AA135+AE135+AI135</f>
        <v>0</v>
      </c>
      <c r="AK135" s="28" t="n">
        <f aca="false">IF(E135&gt;0,E135-N(G134),0)+IF(I135&gt;0,I135-N(K134),0)+IF(M135&gt;0,M135-N(O134),0)+IF(Q135&gt;0,Q135-N(S134),0)+IF(U135&gt;0,U135-N(W134),0)+IF(Y135&gt;0,Y135-N(AA134),0)+IF(AC135&gt;0,AC135-N(AE134),0)+IF(AG135&gt;0,AG135-N(AI134),0)</f>
        <v>0</v>
      </c>
    </row>
    <row r="136" customFormat="false" ht="15" hidden="false" customHeight="false" outlineLevel="0" collapsed="false">
      <c r="A136" s="25" t="n">
        <v>131</v>
      </c>
      <c r="B136" s="26" t="n">
        <f aca="false">EDATE('Min gæld'!$C$16,130)</f>
        <v>50345</v>
      </c>
      <c r="C136" s="27" t="n">
        <f aca="false">N('Min gæld'!$C$15)+IF(N(G135)&lt;=0.005,N('Min gæld'!$E$5),0)+IF(N(K135)&lt;=0.005,N('Min gæld'!$E$6),0)+IF(N(O135)&lt;=0.005,N('Min gæld'!$E$7),0)+IF(N(S135)&lt;=0.005,N('Min gæld'!$E$8),0)+IF(N(W135)&lt;=0.005,N('Min gæld'!$E$9),0)+IF(N(AA135)&lt;=0.005,N('Min gæld'!$E$10),0)+IF(N(AE135)&lt;=0.005,N('Min gæld'!$E$11),0)+IF(N(AI135)&lt;=0.005,N('Min gæld'!$E$12),0)</f>
        <v>4800</v>
      </c>
      <c r="D136" s="27" t="n">
        <f aca="false">MAX(0,C136)</f>
        <v>4800</v>
      </c>
      <c r="E136" s="27" t="n">
        <f aca="false">IF(N(G135)&lt;=0.005,0,N(G135)*(1+N('Min gæld'!$D$5)/12))</f>
        <v>0</v>
      </c>
      <c r="F136" s="27" t="n">
        <f aca="false">IF(E136&lt;=0,0,MIN(E136,N('Min gæld'!$E$5)+D136))</f>
        <v>0</v>
      </c>
      <c r="G136" s="27" t="n">
        <f aca="false">IF(E136-F136&lt;0.005,0,E136-F136)</f>
        <v>0</v>
      </c>
      <c r="H136" s="27" t="n">
        <f aca="false">MAX(0,IF(N(G135)&lt;=0.005,D136,D136+N('Min gæld'!$E$5)-F136))</f>
        <v>4800</v>
      </c>
      <c r="I136" s="27" t="n">
        <f aca="false">IF(N(K135)&lt;=0.005,0,N(K135)*(1+N('Min gæld'!$D$6)/12))</f>
        <v>0</v>
      </c>
      <c r="J136" s="27" t="n">
        <f aca="false">IF(I136&lt;=0,0,MIN(I136,N('Min gæld'!$E$6)+H136))</f>
        <v>0</v>
      </c>
      <c r="K136" s="27" t="n">
        <f aca="false">IF(I136-J136&lt;0.005,0,I136-J136)</f>
        <v>0</v>
      </c>
      <c r="L136" s="27" t="n">
        <f aca="false">MAX(0,IF(N(K135)&lt;=0.005,H136,H136+N('Min gæld'!$E$6)-J136))</f>
        <v>4800</v>
      </c>
      <c r="M136" s="27" t="n">
        <f aca="false">IF(N(O135)&lt;=0.005,0,N(O135)*(1+N('Min gæld'!$D$7)/12))</f>
        <v>0</v>
      </c>
      <c r="N136" s="27" t="n">
        <f aca="false">IF(M136&lt;=0,0,MIN(M136,N('Min gæld'!$E$7)+L136))</f>
        <v>0</v>
      </c>
      <c r="O136" s="27" t="n">
        <f aca="false">IF(M136-N136&lt;0.005,0,M136-N136)</f>
        <v>0</v>
      </c>
      <c r="P136" s="27" t="n">
        <f aca="false">MAX(0,IF(N(O135)&lt;=0.005,L136,L136+N('Min gæld'!$E$7)-N136))</f>
        <v>4800</v>
      </c>
      <c r="Q136" s="27" t="n">
        <f aca="false">IF(N(S135)&lt;=0.005,0,N(S135)*(1+N('Min gæld'!$D$8)/12))</f>
        <v>0</v>
      </c>
      <c r="R136" s="27" t="n">
        <f aca="false">IF(Q136&lt;=0,0,MIN(Q136,N('Min gæld'!$E$8)+P136))</f>
        <v>0</v>
      </c>
      <c r="S136" s="27" t="n">
        <f aca="false">IF(Q136-R136&lt;0.005,0,Q136-R136)</f>
        <v>0</v>
      </c>
      <c r="T136" s="27" t="n">
        <f aca="false">MAX(0,IF(N(S135)&lt;=0.005,P136,P136+N('Min gæld'!$E$8)-R136))</f>
        <v>4800</v>
      </c>
      <c r="U136" s="27" t="n">
        <f aca="false">IF(N(W135)&lt;=0.005,0,N(W135)*(1+N('Min gæld'!$D$9)/12))</f>
        <v>0</v>
      </c>
      <c r="V136" s="27" t="n">
        <f aca="false">IF(U136&lt;=0,0,MIN(U136,N('Min gæld'!$E$9)+T136))</f>
        <v>0</v>
      </c>
      <c r="W136" s="27" t="n">
        <f aca="false">IF(U136-V136&lt;0.005,0,U136-V136)</f>
        <v>0</v>
      </c>
      <c r="X136" s="27" t="n">
        <f aca="false">MAX(0,IF(N(W135)&lt;=0.005,T136,T136+N('Min gæld'!$E$9)-V136))</f>
        <v>4800</v>
      </c>
      <c r="Y136" s="27" t="n">
        <f aca="false">IF(N(AA135)&lt;=0.005,0,N(AA135)*(1+N('Min gæld'!$D$10)/12))</f>
        <v>0</v>
      </c>
      <c r="Z136" s="27" t="n">
        <f aca="false">IF(Y136&lt;=0,0,MIN(Y136,N('Min gæld'!$E$10)+X136))</f>
        <v>0</v>
      </c>
      <c r="AA136" s="27" t="n">
        <f aca="false">IF(Y136-Z136&lt;0.005,0,Y136-Z136)</f>
        <v>0</v>
      </c>
      <c r="AB136" s="27" t="n">
        <f aca="false">MAX(0,IF(N(AA135)&lt;=0.005,X136,X136+N('Min gæld'!$E$10)-Z136))</f>
        <v>4800</v>
      </c>
      <c r="AC136" s="27" t="n">
        <f aca="false">IF(N(AE135)&lt;=0.005,0,N(AE135)*(1+N('Min gæld'!$D$11)/12))</f>
        <v>0</v>
      </c>
      <c r="AD136" s="27" t="n">
        <f aca="false">IF(AC136&lt;=0,0,MIN(AC136,N('Min gæld'!$E$11)+AB136))</f>
        <v>0</v>
      </c>
      <c r="AE136" s="27" t="n">
        <f aca="false">IF(AC136-AD136&lt;0.005,0,AC136-AD136)</f>
        <v>0</v>
      </c>
      <c r="AF136" s="27" t="n">
        <f aca="false">MAX(0,IF(N(AE135)&lt;=0.005,AB136,AB136+N('Min gæld'!$E$11)-AD136))</f>
        <v>4800</v>
      </c>
      <c r="AG136" s="27" t="n">
        <f aca="false">IF(N(AI135)&lt;=0.005,0,N(AI135)*(1+N('Min gæld'!$D$12)/12))</f>
        <v>0</v>
      </c>
      <c r="AH136" s="27" t="n">
        <f aca="false">IF(AG136&lt;=0,0,MIN(AG136,N('Min gæld'!$E$12)+AF136))</f>
        <v>0</v>
      </c>
      <c r="AI136" s="27" t="n">
        <f aca="false">IF(AG136-AH136&lt;0.005,0,AG136-AH136)</f>
        <v>0</v>
      </c>
      <c r="AJ136" s="27" t="n">
        <f aca="false">G136+K136+O136+S136+W136+AA136+AE136+AI136</f>
        <v>0</v>
      </c>
      <c r="AK136" s="28" t="n">
        <f aca="false">IF(E136&gt;0,E136-N(G135),0)+IF(I136&gt;0,I136-N(K135),0)+IF(M136&gt;0,M136-N(O135),0)+IF(Q136&gt;0,Q136-N(S135),0)+IF(U136&gt;0,U136-N(W135),0)+IF(Y136&gt;0,Y136-N(AA135),0)+IF(AC136&gt;0,AC136-N(AE135),0)+IF(AG136&gt;0,AG136-N(AI135),0)</f>
        <v>0</v>
      </c>
    </row>
    <row r="137" customFormat="false" ht="15" hidden="false" customHeight="false" outlineLevel="0" collapsed="false">
      <c r="A137" s="25" t="n">
        <v>132</v>
      </c>
      <c r="B137" s="26" t="n">
        <f aca="false">EDATE('Min gæld'!$C$16,131)</f>
        <v>50375</v>
      </c>
      <c r="C137" s="27" t="n">
        <f aca="false">N('Min gæld'!$C$15)+IF(N(G136)&lt;=0.005,N('Min gæld'!$E$5),0)+IF(N(K136)&lt;=0.005,N('Min gæld'!$E$6),0)+IF(N(O136)&lt;=0.005,N('Min gæld'!$E$7),0)+IF(N(S136)&lt;=0.005,N('Min gæld'!$E$8),0)+IF(N(W136)&lt;=0.005,N('Min gæld'!$E$9),0)+IF(N(AA136)&lt;=0.005,N('Min gæld'!$E$10),0)+IF(N(AE136)&lt;=0.005,N('Min gæld'!$E$11),0)+IF(N(AI136)&lt;=0.005,N('Min gæld'!$E$12),0)</f>
        <v>4800</v>
      </c>
      <c r="D137" s="27" t="n">
        <f aca="false">MAX(0,C137)</f>
        <v>4800</v>
      </c>
      <c r="E137" s="27" t="n">
        <f aca="false">IF(N(G136)&lt;=0.005,0,N(G136)*(1+N('Min gæld'!$D$5)/12))</f>
        <v>0</v>
      </c>
      <c r="F137" s="27" t="n">
        <f aca="false">IF(E137&lt;=0,0,MIN(E137,N('Min gæld'!$E$5)+D137))</f>
        <v>0</v>
      </c>
      <c r="G137" s="27" t="n">
        <f aca="false">IF(E137-F137&lt;0.005,0,E137-F137)</f>
        <v>0</v>
      </c>
      <c r="H137" s="27" t="n">
        <f aca="false">MAX(0,IF(N(G136)&lt;=0.005,D137,D137+N('Min gæld'!$E$5)-F137))</f>
        <v>4800</v>
      </c>
      <c r="I137" s="27" t="n">
        <f aca="false">IF(N(K136)&lt;=0.005,0,N(K136)*(1+N('Min gæld'!$D$6)/12))</f>
        <v>0</v>
      </c>
      <c r="J137" s="27" t="n">
        <f aca="false">IF(I137&lt;=0,0,MIN(I137,N('Min gæld'!$E$6)+H137))</f>
        <v>0</v>
      </c>
      <c r="K137" s="27" t="n">
        <f aca="false">IF(I137-J137&lt;0.005,0,I137-J137)</f>
        <v>0</v>
      </c>
      <c r="L137" s="27" t="n">
        <f aca="false">MAX(0,IF(N(K136)&lt;=0.005,H137,H137+N('Min gæld'!$E$6)-J137))</f>
        <v>4800</v>
      </c>
      <c r="M137" s="27" t="n">
        <f aca="false">IF(N(O136)&lt;=0.005,0,N(O136)*(1+N('Min gæld'!$D$7)/12))</f>
        <v>0</v>
      </c>
      <c r="N137" s="27" t="n">
        <f aca="false">IF(M137&lt;=0,0,MIN(M137,N('Min gæld'!$E$7)+L137))</f>
        <v>0</v>
      </c>
      <c r="O137" s="27" t="n">
        <f aca="false">IF(M137-N137&lt;0.005,0,M137-N137)</f>
        <v>0</v>
      </c>
      <c r="P137" s="27" t="n">
        <f aca="false">MAX(0,IF(N(O136)&lt;=0.005,L137,L137+N('Min gæld'!$E$7)-N137))</f>
        <v>4800</v>
      </c>
      <c r="Q137" s="27" t="n">
        <f aca="false">IF(N(S136)&lt;=0.005,0,N(S136)*(1+N('Min gæld'!$D$8)/12))</f>
        <v>0</v>
      </c>
      <c r="R137" s="27" t="n">
        <f aca="false">IF(Q137&lt;=0,0,MIN(Q137,N('Min gæld'!$E$8)+P137))</f>
        <v>0</v>
      </c>
      <c r="S137" s="27" t="n">
        <f aca="false">IF(Q137-R137&lt;0.005,0,Q137-R137)</f>
        <v>0</v>
      </c>
      <c r="T137" s="27" t="n">
        <f aca="false">MAX(0,IF(N(S136)&lt;=0.005,P137,P137+N('Min gæld'!$E$8)-R137))</f>
        <v>4800</v>
      </c>
      <c r="U137" s="27" t="n">
        <f aca="false">IF(N(W136)&lt;=0.005,0,N(W136)*(1+N('Min gæld'!$D$9)/12))</f>
        <v>0</v>
      </c>
      <c r="V137" s="27" t="n">
        <f aca="false">IF(U137&lt;=0,0,MIN(U137,N('Min gæld'!$E$9)+T137))</f>
        <v>0</v>
      </c>
      <c r="W137" s="27" t="n">
        <f aca="false">IF(U137-V137&lt;0.005,0,U137-V137)</f>
        <v>0</v>
      </c>
      <c r="X137" s="27" t="n">
        <f aca="false">MAX(0,IF(N(W136)&lt;=0.005,T137,T137+N('Min gæld'!$E$9)-V137))</f>
        <v>4800</v>
      </c>
      <c r="Y137" s="27" t="n">
        <f aca="false">IF(N(AA136)&lt;=0.005,0,N(AA136)*(1+N('Min gæld'!$D$10)/12))</f>
        <v>0</v>
      </c>
      <c r="Z137" s="27" t="n">
        <f aca="false">IF(Y137&lt;=0,0,MIN(Y137,N('Min gæld'!$E$10)+X137))</f>
        <v>0</v>
      </c>
      <c r="AA137" s="27" t="n">
        <f aca="false">IF(Y137-Z137&lt;0.005,0,Y137-Z137)</f>
        <v>0</v>
      </c>
      <c r="AB137" s="27" t="n">
        <f aca="false">MAX(0,IF(N(AA136)&lt;=0.005,X137,X137+N('Min gæld'!$E$10)-Z137))</f>
        <v>4800</v>
      </c>
      <c r="AC137" s="27" t="n">
        <f aca="false">IF(N(AE136)&lt;=0.005,0,N(AE136)*(1+N('Min gæld'!$D$11)/12))</f>
        <v>0</v>
      </c>
      <c r="AD137" s="27" t="n">
        <f aca="false">IF(AC137&lt;=0,0,MIN(AC137,N('Min gæld'!$E$11)+AB137))</f>
        <v>0</v>
      </c>
      <c r="AE137" s="27" t="n">
        <f aca="false">IF(AC137-AD137&lt;0.005,0,AC137-AD137)</f>
        <v>0</v>
      </c>
      <c r="AF137" s="27" t="n">
        <f aca="false">MAX(0,IF(N(AE136)&lt;=0.005,AB137,AB137+N('Min gæld'!$E$11)-AD137))</f>
        <v>4800</v>
      </c>
      <c r="AG137" s="27" t="n">
        <f aca="false">IF(N(AI136)&lt;=0.005,0,N(AI136)*(1+N('Min gæld'!$D$12)/12))</f>
        <v>0</v>
      </c>
      <c r="AH137" s="27" t="n">
        <f aca="false">IF(AG137&lt;=0,0,MIN(AG137,N('Min gæld'!$E$12)+AF137))</f>
        <v>0</v>
      </c>
      <c r="AI137" s="27" t="n">
        <f aca="false">IF(AG137-AH137&lt;0.005,0,AG137-AH137)</f>
        <v>0</v>
      </c>
      <c r="AJ137" s="27" t="n">
        <f aca="false">G137+K137+O137+S137+W137+AA137+AE137+AI137</f>
        <v>0</v>
      </c>
      <c r="AK137" s="28" t="n">
        <f aca="false">IF(E137&gt;0,E137-N(G136),0)+IF(I137&gt;0,I137-N(K136),0)+IF(M137&gt;0,M137-N(O136),0)+IF(Q137&gt;0,Q137-N(S136),0)+IF(U137&gt;0,U137-N(W136),0)+IF(Y137&gt;0,Y137-N(AA136),0)+IF(AC137&gt;0,AC137-N(AE136),0)+IF(AG137&gt;0,AG137-N(AI136),0)</f>
        <v>0</v>
      </c>
    </row>
    <row r="138" customFormat="false" ht="15" hidden="false" customHeight="false" outlineLevel="0" collapsed="false">
      <c r="A138" s="25" t="n">
        <v>133</v>
      </c>
      <c r="B138" s="26" t="n">
        <f aca="false">EDATE('Min gæld'!$C$16,132)</f>
        <v>50406</v>
      </c>
      <c r="C138" s="27" t="n">
        <f aca="false">N('Min gæld'!$C$15)+IF(N(G137)&lt;=0.005,N('Min gæld'!$E$5),0)+IF(N(K137)&lt;=0.005,N('Min gæld'!$E$6),0)+IF(N(O137)&lt;=0.005,N('Min gæld'!$E$7),0)+IF(N(S137)&lt;=0.005,N('Min gæld'!$E$8),0)+IF(N(W137)&lt;=0.005,N('Min gæld'!$E$9),0)+IF(N(AA137)&lt;=0.005,N('Min gæld'!$E$10),0)+IF(N(AE137)&lt;=0.005,N('Min gæld'!$E$11),0)+IF(N(AI137)&lt;=0.005,N('Min gæld'!$E$12),0)</f>
        <v>4800</v>
      </c>
      <c r="D138" s="27" t="n">
        <f aca="false">MAX(0,C138)</f>
        <v>4800</v>
      </c>
      <c r="E138" s="27" t="n">
        <f aca="false">IF(N(G137)&lt;=0.005,0,N(G137)*(1+N('Min gæld'!$D$5)/12))</f>
        <v>0</v>
      </c>
      <c r="F138" s="27" t="n">
        <f aca="false">IF(E138&lt;=0,0,MIN(E138,N('Min gæld'!$E$5)+D138))</f>
        <v>0</v>
      </c>
      <c r="G138" s="27" t="n">
        <f aca="false">IF(E138-F138&lt;0.005,0,E138-F138)</f>
        <v>0</v>
      </c>
      <c r="H138" s="27" t="n">
        <f aca="false">MAX(0,IF(N(G137)&lt;=0.005,D138,D138+N('Min gæld'!$E$5)-F138))</f>
        <v>4800</v>
      </c>
      <c r="I138" s="27" t="n">
        <f aca="false">IF(N(K137)&lt;=0.005,0,N(K137)*(1+N('Min gæld'!$D$6)/12))</f>
        <v>0</v>
      </c>
      <c r="J138" s="27" t="n">
        <f aca="false">IF(I138&lt;=0,0,MIN(I138,N('Min gæld'!$E$6)+H138))</f>
        <v>0</v>
      </c>
      <c r="K138" s="27" t="n">
        <f aca="false">IF(I138-J138&lt;0.005,0,I138-J138)</f>
        <v>0</v>
      </c>
      <c r="L138" s="27" t="n">
        <f aca="false">MAX(0,IF(N(K137)&lt;=0.005,H138,H138+N('Min gæld'!$E$6)-J138))</f>
        <v>4800</v>
      </c>
      <c r="M138" s="27" t="n">
        <f aca="false">IF(N(O137)&lt;=0.005,0,N(O137)*(1+N('Min gæld'!$D$7)/12))</f>
        <v>0</v>
      </c>
      <c r="N138" s="27" t="n">
        <f aca="false">IF(M138&lt;=0,0,MIN(M138,N('Min gæld'!$E$7)+L138))</f>
        <v>0</v>
      </c>
      <c r="O138" s="27" t="n">
        <f aca="false">IF(M138-N138&lt;0.005,0,M138-N138)</f>
        <v>0</v>
      </c>
      <c r="P138" s="27" t="n">
        <f aca="false">MAX(0,IF(N(O137)&lt;=0.005,L138,L138+N('Min gæld'!$E$7)-N138))</f>
        <v>4800</v>
      </c>
      <c r="Q138" s="27" t="n">
        <f aca="false">IF(N(S137)&lt;=0.005,0,N(S137)*(1+N('Min gæld'!$D$8)/12))</f>
        <v>0</v>
      </c>
      <c r="R138" s="27" t="n">
        <f aca="false">IF(Q138&lt;=0,0,MIN(Q138,N('Min gæld'!$E$8)+P138))</f>
        <v>0</v>
      </c>
      <c r="S138" s="27" t="n">
        <f aca="false">IF(Q138-R138&lt;0.005,0,Q138-R138)</f>
        <v>0</v>
      </c>
      <c r="T138" s="27" t="n">
        <f aca="false">MAX(0,IF(N(S137)&lt;=0.005,P138,P138+N('Min gæld'!$E$8)-R138))</f>
        <v>4800</v>
      </c>
      <c r="U138" s="27" t="n">
        <f aca="false">IF(N(W137)&lt;=0.005,0,N(W137)*(1+N('Min gæld'!$D$9)/12))</f>
        <v>0</v>
      </c>
      <c r="V138" s="27" t="n">
        <f aca="false">IF(U138&lt;=0,0,MIN(U138,N('Min gæld'!$E$9)+T138))</f>
        <v>0</v>
      </c>
      <c r="W138" s="27" t="n">
        <f aca="false">IF(U138-V138&lt;0.005,0,U138-V138)</f>
        <v>0</v>
      </c>
      <c r="X138" s="27" t="n">
        <f aca="false">MAX(0,IF(N(W137)&lt;=0.005,T138,T138+N('Min gæld'!$E$9)-V138))</f>
        <v>4800</v>
      </c>
      <c r="Y138" s="27" t="n">
        <f aca="false">IF(N(AA137)&lt;=0.005,0,N(AA137)*(1+N('Min gæld'!$D$10)/12))</f>
        <v>0</v>
      </c>
      <c r="Z138" s="27" t="n">
        <f aca="false">IF(Y138&lt;=0,0,MIN(Y138,N('Min gæld'!$E$10)+X138))</f>
        <v>0</v>
      </c>
      <c r="AA138" s="27" t="n">
        <f aca="false">IF(Y138-Z138&lt;0.005,0,Y138-Z138)</f>
        <v>0</v>
      </c>
      <c r="AB138" s="27" t="n">
        <f aca="false">MAX(0,IF(N(AA137)&lt;=0.005,X138,X138+N('Min gæld'!$E$10)-Z138))</f>
        <v>4800</v>
      </c>
      <c r="AC138" s="27" t="n">
        <f aca="false">IF(N(AE137)&lt;=0.005,0,N(AE137)*(1+N('Min gæld'!$D$11)/12))</f>
        <v>0</v>
      </c>
      <c r="AD138" s="27" t="n">
        <f aca="false">IF(AC138&lt;=0,0,MIN(AC138,N('Min gæld'!$E$11)+AB138))</f>
        <v>0</v>
      </c>
      <c r="AE138" s="27" t="n">
        <f aca="false">IF(AC138-AD138&lt;0.005,0,AC138-AD138)</f>
        <v>0</v>
      </c>
      <c r="AF138" s="27" t="n">
        <f aca="false">MAX(0,IF(N(AE137)&lt;=0.005,AB138,AB138+N('Min gæld'!$E$11)-AD138))</f>
        <v>4800</v>
      </c>
      <c r="AG138" s="27" t="n">
        <f aca="false">IF(N(AI137)&lt;=0.005,0,N(AI137)*(1+N('Min gæld'!$D$12)/12))</f>
        <v>0</v>
      </c>
      <c r="AH138" s="27" t="n">
        <f aca="false">IF(AG138&lt;=0,0,MIN(AG138,N('Min gæld'!$E$12)+AF138))</f>
        <v>0</v>
      </c>
      <c r="AI138" s="27" t="n">
        <f aca="false">IF(AG138-AH138&lt;0.005,0,AG138-AH138)</f>
        <v>0</v>
      </c>
      <c r="AJ138" s="27" t="n">
        <f aca="false">G138+K138+O138+S138+W138+AA138+AE138+AI138</f>
        <v>0</v>
      </c>
      <c r="AK138" s="28" t="n">
        <f aca="false">IF(E138&gt;0,E138-N(G137),0)+IF(I138&gt;0,I138-N(K137),0)+IF(M138&gt;0,M138-N(O137),0)+IF(Q138&gt;0,Q138-N(S137),0)+IF(U138&gt;0,U138-N(W137),0)+IF(Y138&gt;0,Y138-N(AA137),0)+IF(AC138&gt;0,AC138-N(AE137),0)+IF(AG138&gt;0,AG138-N(AI137),0)</f>
        <v>0</v>
      </c>
    </row>
    <row r="139" customFormat="false" ht="15" hidden="false" customHeight="false" outlineLevel="0" collapsed="false">
      <c r="A139" s="25" t="n">
        <v>134</v>
      </c>
      <c r="B139" s="26" t="n">
        <f aca="false">EDATE('Min gæld'!$C$16,133)</f>
        <v>50437</v>
      </c>
      <c r="C139" s="27" t="n">
        <f aca="false">N('Min gæld'!$C$15)+IF(N(G138)&lt;=0.005,N('Min gæld'!$E$5),0)+IF(N(K138)&lt;=0.005,N('Min gæld'!$E$6),0)+IF(N(O138)&lt;=0.005,N('Min gæld'!$E$7),0)+IF(N(S138)&lt;=0.005,N('Min gæld'!$E$8),0)+IF(N(W138)&lt;=0.005,N('Min gæld'!$E$9),0)+IF(N(AA138)&lt;=0.005,N('Min gæld'!$E$10),0)+IF(N(AE138)&lt;=0.005,N('Min gæld'!$E$11),0)+IF(N(AI138)&lt;=0.005,N('Min gæld'!$E$12),0)</f>
        <v>4800</v>
      </c>
      <c r="D139" s="27" t="n">
        <f aca="false">MAX(0,C139)</f>
        <v>4800</v>
      </c>
      <c r="E139" s="27" t="n">
        <f aca="false">IF(N(G138)&lt;=0.005,0,N(G138)*(1+N('Min gæld'!$D$5)/12))</f>
        <v>0</v>
      </c>
      <c r="F139" s="27" t="n">
        <f aca="false">IF(E139&lt;=0,0,MIN(E139,N('Min gæld'!$E$5)+D139))</f>
        <v>0</v>
      </c>
      <c r="G139" s="27" t="n">
        <f aca="false">IF(E139-F139&lt;0.005,0,E139-F139)</f>
        <v>0</v>
      </c>
      <c r="H139" s="27" t="n">
        <f aca="false">MAX(0,IF(N(G138)&lt;=0.005,D139,D139+N('Min gæld'!$E$5)-F139))</f>
        <v>4800</v>
      </c>
      <c r="I139" s="27" t="n">
        <f aca="false">IF(N(K138)&lt;=0.005,0,N(K138)*(1+N('Min gæld'!$D$6)/12))</f>
        <v>0</v>
      </c>
      <c r="J139" s="27" t="n">
        <f aca="false">IF(I139&lt;=0,0,MIN(I139,N('Min gæld'!$E$6)+H139))</f>
        <v>0</v>
      </c>
      <c r="K139" s="27" t="n">
        <f aca="false">IF(I139-J139&lt;0.005,0,I139-J139)</f>
        <v>0</v>
      </c>
      <c r="L139" s="27" t="n">
        <f aca="false">MAX(0,IF(N(K138)&lt;=0.005,H139,H139+N('Min gæld'!$E$6)-J139))</f>
        <v>4800</v>
      </c>
      <c r="M139" s="27" t="n">
        <f aca="false">IF(N(O138)&lt;=0.005,0,N(O138)*(1+N('Min gæld'!$D$7)/12))</f>
        <v>0</v>
      </c>
      <c r="N139" s="27" t="n">
        <f aca="false">IF(M139&lt;=0,0,MIN(M139,N('Min gæld'!$E$7)+L139))</f>
        <v>0</v>
      </c>
      <c r="O139" s="27" t="n">
        <f aca="false">IF(M139-N139&lt;0.005,0,M139-N139)</f>
        <v>0</v>
      </c>
      <c r="P139" s="27" t="n">
        <f aca="false">MAX(0,IF(N(O138)&lt;=0.005,L139,L139+N('Min gæld'!$E$7)-N139))</f>
        <v>4800</v>
      </c>
      <c r="Q139" s="27" t="n">
        <f aca="false">IF(N(S138)&lt;=0.005,0,N(S138)*(1+N('Min gæld'!$D$8)/12))</f>
        <v>0</v>
      </c>
      <c r="R139" s="27" t="n">
        <f aca="false">IF(Q139&lt;=0,0,MIN(Q139,N('Min gæld'!$E$8)+P139))</f>
        <v>0</v>
      </c>
      <c r="S139" s="27" t="n">
        <f aca="false">IF(Q139-R139&lt;0.005,0,Q139-R139)</f>
        <v>0</v>
      </c>
      <c r="T139" s="27" t="n">
        <f aca="false">MAX(0,IF(N(S138)&lt;=0.005,P139,P139+N('Min gæld'!$E$8)-R139))</f>
        <v>4800</v>
      </c>
      <c r="U139" s="27" t="n">
        <f aca="false">IF(N(W138)&lt;=0.005,0,N(W138)*(1+N('Min gæld'!$D$9)/12))</f>
        <v>0</v>
      </c>
      <c r="V139" s="27" t="n">
        <f aca="false">IF(U139&lt;=0,0,MIN(U139,N('Min gæld'!$E$9)+T139))</f>
        <v>0</v>
      </c>
      <c r="W139" s="27" t="n">
        <f aca="false">IF(U139-V139&lt;0.005,0,U139-V139)</f>
        <v>0</v>
      </c>
      <c r="X139" s="27" t="n">
        <f aca="false">MAX(0,IF(N(W138)&lt;=0.005,T139,T139+N('Min gæld'!$E$9)-V139))</f>
        <v>4800</v>
      </c>
      <c r="Y139" s="27" t="n">
        <f aca="false">IF(N(AA138)&lt;=0.005,0,N(AA138)*(1+N('Min gæld'!$D$10)/12))</f>
        <v>0</v>
      </c>
      <c r="Z139" s="27" t="n">
        <f aca="false">IF(Y139&lt;=0,0,MIN(Y139,N('Min gæld'!$E$10)+X139))</f>
        <v>0</v>
      </c>
      <c r="AA139" s="27" t="n">
        <f aca="false">IF(Y139-Z139&lt;0.005,0,Y139-Z139)</f>
        <v>0</v>
      </c>
      <c r="AB139" s="27" t="n">
        <f aca="false">MAX(0,IF(N(AA138)&lt;=0.005,X139,X139+N('Min gæld'!$E$10)-Z139))</f>
        <v>4800</v>
      </c>
      <c r="AC139" s="27" t="n">
        <f aca="false">IF(N(AE138)&lt;=0.005,0,N(AE138)*(1+N('Min gæld'!$D$11)/12))</f>
        <v>0</v>
      </c>
      <c r="AD139" s="27" t="n">
        <f aca="false">IF(AC139&lt;=0,0,MIN(AC139,N('Min gæld'!$E$11)+AB139))</f>
        <v>0</v>
      </c>
      <c r="AE139" s="27" t="n">
        <f aca="false">IF(AC139-AD139&lt;0.005,0,AC139-AD139)</f>
        <v>0</v>
      </c>
      <c r="AF139" s="27" t="n">
        <f aca="false">MAX(0,IF(N(AE138)&lt;=0.005,AB139,AB139+N('Min gæld'!$E$11)-AD139))</f>
        <v>4800</v>
      </c>
      <c r="AG139" s="27" t="n">
        <f aca="false">IF(N(AI138)&lt;=0.005,0,N(AI138)*(1+N('Min gæld'!$D$12)/12))</f>
        <v>0</v>
      </c>
      <c r="AH139" s="27" t="n">
        <f aca="false">IF(AG139&lt;=0,0,MIN(AG139,N('Min gæld'!$E$12)+AF139))</f>
        <v>0</v>
      </c>
      <c r="AI139" s="27" t="n">
        <f aca="false">IF(AG139-AH139&lt;0.005,0,AG139-AH139)</f>
        <v>0</v>
      </c>
      <c r="AJ139" s="27" t="n">
        <f aca="false">G139+K139+O139+S139+W139+AA139+AE139+AI139</f>
        <v>0</v>
      </c>
      <c r="AK139" s="28" t="n">
        <f aca="false">IF(E139&gt;0,E139-N(G138),0)+IF(I139&gt;0,I139-N(K138),0)+IF(M139&gt;0,M139-N(O138),0)+IF(Q139&gt;0,Q139-N(S138),0)+IF(U139&gt;0,U139-N(W138),0)+IF(Y139&gt;0,Y139-N(AA138),0)+IF(AC139&gt;0,AC139-N(AE138),0)+IF(AG139&gt;0,AG139-N(AI138),0)</f>
        <v>0</v>
      </c>
    </row>
    <row r="140" customFormat="false" ht="15" hidden="false" customHeight="false" outlineLevel="0" collapsed="false">
      <c r="A140" s="25" t="n">
        <v>135</v>
      </c>
      <c r="B140" s="26" t="n">
        <f aca="false">EDATE('Min gæld'!$C$16,134)</f>
        <v>50465</v>
      </c>
      <c r="C140" s="27" t="n">
        <f aca="false">N('Min gæld'!$C$15)+IF(N(G139)&lt;=0.005,N('Min gæld'!$E$5),0)+IF(N(K139)&lt;=0.005,N('Min gæld'!$E$6),0)+IF(N(O139)&lt;=0.005,N('Min gæld'!$E$7),0)+IF(N(S139)&lt;=0.005,N('Min gæld'!$E$8),0)+IF(N(W139)&lt;=0.005,N('Min gæld'!$E$9),0)+IF(N(AA139)&lt;=0.005,N('Min gæld'!$E$10),0)+IF(N(AE139)&lt;=0.005,N('Min gæld'!$E$11),0)+IF(N(AI139)&lt;=0.005,N('Min gæld'!$E$12),0)</f>
        <v>4800</v>
      </c>
      <c r="D140" s="27" t="n">
        <f aca="false">MAX(0,C140)</f>
        <v>4800</v>
      </c>
      <c r="E140" s="27" t="n">
        <f aca="false">IF(N(G139)&lt;=0.005,0,N(G139)*(1+N('Min gæld'!$D$5)/12))</f>
        <v>0</v>
      </c>
      <c r="F140" s="27" t="n">
        <f aca="false">IF(E140&lt;=0,0,MIN(E140,N('Min gæld'!$E$5)+D140))</f>
        <v>0</v>
      </c>
      <c r="G140" s="27" t="n">
        <f aca="false">IF(E140-F140&lt;0.005,0,E140-F140)</f>
        <v>0</v>
      </c>
      <c r="H140" s="27" t="n">
        <f aca="false">MAX(0,IF(N(G139)&lt;=0.005,D140,D140+N('Min gæld'!$E$5)-F140))</f>
        <v>4800</v>
      </c>
      <c r="I140" s="27" t="n">
        <f aca="false">IF(N(K139)&lt;=0.005,0,N(K139)*(1+N('Min gæld'!$D$6)/12))</f>
        <v>0</v>
      </c>
      <c r="J140" s="27" t="n">
        <f aca="false">IF(I140&lt;=0,0,MIN(I140,N('Min gæld'!$E$6)+H140))</f>
        <v>0</v>
      </c>
      <c r="K140" s="27" t="n">
        <f aca="false">IF(I140-J140&lt;0.005,0,I140-J140)</f>
        <v>0</v>
      </c>
      <c r="L140" s="27" t="n">
        <f aca="false">MAX(0,IF(N(K139)&lt;=0.005,H140,H140+N('Min gæld'!$E$6)-J140))</f>
        <v>4800</v>
      </c>
      <c r="M140" s="27" t="n">
        <f aca="false">IF(N(O139)&lt;=0.005,0,N(O139)*(1+N('Min gæld'!$D$7)/12))</f>
        <v>0</v>
      </c>
      <c r="N140" s="27" t="n">
        <f aca="false">IF(M140&lt;=0,0,MIN(M140,N('Min gæld'!$E$7)+L140))</f>
        <v>0</v>
      </c>
      <c r="O140" s="27" t="n">
        <f aca="false">IF(M140-N140&lt;0.005,0,M140-N140)</f>
        <v>0</v>
      </c>
      <c r="P140" s="27" t="n">
        <f aca="false">MAX(0,IF(N(O139)&lt;=0.005,L140,L140+N('Min gæld'!$E$7)-N140))</f>
        <v>4800</v>
      </c>
      <c r="Q140" s="27" t="n">
        <f aca="false">IF(N(S139)&lt;=0.005,0,N(S139)*(1+N('Min gæld'!$D$8)/12))</f>
        <v>0</v>
      </c>
      <c r="R140" s="27" t="n">
        <f aca="false">IF(Q140&lt;=0,0,MIN(Q140,N('Min gæld'!$E$8)+P140))</f>
        <v>0</v>
      </c>
      <c r="S140" s="27" t="n">
        <f aca="false">IF(Q140-R140&lt;0.005,0,Q140-R140)</f>
        <v>0</v>
      </c>
      <c r="T140" s="27" t="n">
        <f aca="false">MAX(0,IF(N(S139)&lt;=0.005,P140,P140+N('Min gæld'!$E$8)-R140))</f>
        <v>4800</v>
      </c>
      <c r="U140" s="27" t="n">
        <f aca="false">IF(N(W139)&lt;=0.005,0,N(W139)*(1+N('Min gæld'!$D$9)/12))</f>
        <v>0</v>
      </c>
      <c r="V140" s="27" t="n">
        <f aca="false">IF(U140&lt;=0,0,MIN(U140,N('Min gæld'!$E$9)+T140))</f>
        <v>0</v>
      </c>
      <c r="W140" s="27" t="n">
        <f aca="false">IF(U140-V140&lt;0.005,0,U140-V140)</f>
        <v>0</v>
      </c>
      <c r="X140" s="27" t="n">
        <f aca="false">MAX(0,IF(N(W139)&lt;=0.005,T140,T140+N('Min gæld'!$E$9)-V140))</f>
        <v>4800</v>
      </c>
      <c r="Y140" s="27" t="n">
        <f aca="false">IF(N(AA139)&lt;=0.005,0,N(AA139)*(1+N('Min gæld'!$D$10)/12))</f>
        <v>0</v>
      </c>
      <c r="Z140" s="27" t="n">
        <f aca="false">IF(Y140&lt;=0,0,MIN(Y140,N('Min gæld'!$E$10)+X140))</f>
        <v>0</v>
      </c>
      <c r="AA140" s="27" t="n">
        <f aca="false">IF(Y140-Z140&lt;0.005,0,Y140-Z140)</f>
        <v>0</v>
      </c>
      <c r="AB140" s="27" t="n">
        <f aca="false">MAX(0,IF(N(AA139)&lt;=0.005,X140,X140+N('Min gæld'!$E$10)-Z140))</f>
        <v>4800</v>
      </c>
      <c r="AC140" s="27" t="n">
        <f aca="false">IF(N(AE139)&lt;=0.005,0,N(AE139)*(1+N('Min gæld'!$D$11)/12))</f>
        <v>0</v>
      </c>
      <c r="AD140" s="27" t="n">
        <f aca="false">IF(AC140&lt;=0,0,MIN(AC140,N('Min gæld'!$E$11)+AB140))</f>
        <v>0</v>
      </c>
      <c r="AE140" s="27" t="n">
        <f aca="false">IF(AC140-AD140&lt;0.005,0,AC140-AD140)</f>
        <v>0</v>
      </c>
      <c r="AF140" s="27" t="n">
        <f aca="false">MAX(0,IF(N(AE139)&lt;=0.005,AB140,AB140+N('Min gæld'!$E$11)-AD140))</f>
        <v>4800</v>
      </c>
      <c r="AG140" s="27" t="n">
        <f aca="false">IF(N(AI139)&lt;=0.005,0,N(AI139)*(1+N('Min gæld'!$D$12)/12))</f>
        <v>0</v>
      </c>
      <c r="AH140" s="27" t="n">
        <f aca="false">IF(AG140&lt;=0,0,MIN(AG140,N('Min gæld'!$E$12)+AF140))</f>
        <v>0</v>
      </c>
      <c r="AI140" s="27" t="n">
        <f aca="false">IF(AG140-AH140&lt;0.005,0,AG140-AH140)</f>
        <v>0</v>
      </c>
      <c r="AJ140" s="27" t="n">
        <f aca="false">G140+K140+O140+S140+W140+AA140+AE140+AI140</f>
        <v>0</v>
      </c>
      <c r="AK140" s="28" t="n">
        <f aca="false">IF(E140&gt;0,E140-N(G139),0)+IF(I140&gt;0,I140-N(K139),0)+IF(M140&gt;0,M140-N(O139),0)+IF(Q140&gt;0,Q140-N(S139),0)+IF(U140&gt;0,U140-N(W139),0)+IF(Y140&gt;0,Y140-N(AA139),0)+IF(AC140&gt;0,AC140-N(AE139),0)+IF(AG140&gt;0,AG140-N(AI139),0)</f>
        <v>0</v>
      </c>
    </row>
    <row r="141" customFormat="false" ht="15" hidden="false" customHeight="false" outlineLevel="0" collapsed="false">
      <c r="A141" s="25" t="n">
        <v>136</v>
      </c>
      <c r="B141" s="26" t="n">
        <f aca="false">EDATE('Min gæld'!$C$16,135)</f>
        <v>50496</v>
      </c>
      <c r="C141" s="27" t="n">
        <f aca="false">N('Min gæld'!$C$15)+IF(N(G140)&lt;=0.005,N('Min gæld'!$E$5),0)+IF(N(K140)&lt;=0.005,N('Min gæld'!$E$6),0)+IF(N(O140)&lt;=0.005,N('Min gæld'!$E$7),0)+IF(N(S140)&lt;=0.005,N('Min gæld'!$E$8),0)+IF(N(W140)&lt;=0.005,N('Min gæld'!$E$9),0)+IF(N(AA140)&lt;=0.005,N('Min gæld'!$E$10),0)+IF(N(AE140)&lt;=0.005,N('Min gæld'!$E$11),0)+IF(N(AI140)&lt;=0.005,N('Min gæld'!$E$12),0)</f>
        <v>4800</v>
      </c>
      <c r="D141" s="27" t="n">
        <f aca="false">MAX(0,C141)</f>
        <v>4800</v>
      </c>
      <c r="E141" s="27" t="n">
        <f aca="false">IF(N(G140)&lt;=0.005,0,N(G140)*(1+N('Min gæld'!$D$5)/12))</f>
        <v>0</v>
      </c>
      <c r="F141" s="27" t="n">
        <f aca="false">IF(E141&lt;=0,0,MIN(E141,N('Min gæld'!$E$5)+D141))</f>
        <v>0</v>
      </c>
      <c r="G141" s="27" t="n">
        <f aca="false">IF(E141-F141&lt;0.005,0,E141-F141)</f>
        <v>0</v>
      </c>
      <c r="H141" s="27" t="n">
        <f aca="false">MAX(0,IF(N(G140)&lt;=0.005,D141,D141+N('Min gæld'!$E$5)-F141))</f>
        <v>4800</v>
      </c>
      <c r="I141" s="27" t="n">
        <f aca="false">IF(N(K140)&lt;=0.005,0,N(K140)*(1+N('Min gæld'!$D$6)/12))</f>
        <v>0</v>
      </c>
      <c r="J141" s="27" t="n">
        <f aca="false">IF(I141&lt;=0,0,MIN(I141,N('Min gæld'!$E$6)+H141))</f>
        <v>0</v>
      </c>
      <c r="K141" s="27" t="n">
        <f aca="false">IF(I141-J141&lt;0.005,0,I141-J141)</f>
        <v>0</v>
      </c>
      <c r="L141" s="27" t="n">
        <f aca="false">MAX(0,IF(N(K140)&lt;=0.005,H141,H141+N('Min gæld'!$E$6)-J141))</f>
        <v>4800</v>
      </c>
      <c r="M141" s="27" t="n">
        <f aca="false">IF(N(O140)&lt;=0.005,0,N(O140)*(1+N('Min gæld'!$D$7)/12))</f>
        <v>0</v>
      </c>
      <c r="N141" s="27" t="n">
        <f aca="false">IF(M141&lt;=0,0,MIN(M141,N('Min gæld'!$E$7)+L141))</f>
        <v>0</v>
      </c>
      <c r="O141" s="27" t="n">
        <f aca="false">IF(M141-N141&lt;0.005,0,M141-N141)</f>
        <v>0</v>
      </c>
      <c r="P141" s="27" t="n">
        <f aca="false">MAX(0,IF(N(O140)&lt;=0.005,L141,L141+N('Min gæld'!$E$7)-N141))</f>
        <v>4800</v>
      </c>
      <c r="Q141" s="27" t="n">
        <f aca="false">IF(N(S140)&lt;=0.005,0,N(S140)*(1+N('Min gæld'!$D$8)/12))</f>
        <v>0</v>
      </c>
      <c r="R141" s="27" t="n">
        <f aca="false">IF(Q141&lt;=0,0,MIN(Q141,N('Min gæld'!$E$8)+P141))</f>
        <v>0</v>
      </c>
      <c r="S141" s="27" t="n">
        <f aca="false">IF(Q141-R141&lt;0.005,0,Q141-R141)</f>
        <v>0</v>
      </c>
      <c r="T141" s="27" t="n">
        <f aca="false">MAX(0,IF(N(S140)&lt;=0.005,P141,P141+N('Min gæld'!$E$8)-R141))</f>
        <v>4800</v>
      </c>
      <c r="U141" s="27" t="n">
        <f aca="false">IF(N(W140)&lt;=0.005,0,N(W140)*(1+N('Min gæld'!$D$9)/12))</f>
        <v>0</v>
      </c>
      <c r="V141" s="27" t="n">
        <f aca="false">IF(U141&lt;=0,0,MIN(U141,N('Min gæld'!$E$9)+T141))</f>
        <v>0</v>
      </c>
      <c r="W141" s="27" t="n">
        <f aca="false">IF(U141-V141&lt;0.005,0,U141-V141)</f>
        <v>0</v>
      </c>
      <c r="X141" s="27" t="n">
        <f aca="false">MAX(0,IF(N(W140)&lt;=0.005,T141,T141+N('Min gæld'!$E$9)-V141))</f>
        <v>4800</v>
      </c>
      <c r="Y141" s="27" t="n">
        <f aca="false">IF(N(AA140)&lt;=0.005,0,N(AA140)*(1+N('Min gæld'!$D$10)/12))</f>
        <v>0</v>
      </c>
      <c r="Z141" s="27" t="n">
        <f aca="false">IF(Y141&lt;=0,0,MIN(Y141,N('Min gæld'!$E$10)+X141))</f>
        <v>0</v>
      </c>
      <c r="AA141" s="27" t="n">
        <f aca="false">IF(Y141-Z141&lt;0.005,0,Y141-Z141)</f>
        <v>0</v>
      </c>
      <c r="AB141" s="27" t="n">
        <f aca="false">MAX(0,IF(N(AA140)&lt;=0.005,X141,X141+N('Min gæld'!$E$10)-Z141))</f>
        <v>4800</v>
      </c>
      <c r="AC141" s="27" t="n">
        <f aca="false">IF(N(AE140)&lt;=0.005,0,N(AE140)*(1+N('Min gæld'!$D$11)/12))</f>
        <v>0</v>
      </c>
      <c r="AD141" s="27" t="n">
        <f aca="false">IF(AC141&lt;=0,0,MIN(AC141,N('Min gæld'!$E$11)+AB141))</f>
        <v>0</v>
      </c>
      <c r="AE141" s="27" t="n">
        <f aca="false">IF(AC141-AD141&lt;0.005,0,AC141-AD141)</f>
        <v>0</v>
      </c>
      <c r="AF141" s="27" t="n">
        <f aca="false">MAX(0,IF(N(AE140)&lt;=0.005,AB141,AB141+N('Min gæld'!$E$11)-AD141))</f>
        <v>4800</v>
      </c>
      <c r="AG141" s="27" t="n">
        <f aca="false">IF(N(AI140)&lt;=0.005,0,N(AI140)*(1+N('Min gæld'!$D$12)/12))</f>
        <v>0</v>
      </c>
      <c r="AH141" s="27" t="n">
        <f aca="false">IF(AG141&lt;=0,0,MIN(AG141,N('Min gæld'!$E$12)+AF141))</f>
        <v>0</v>
      </c>
      <c r="AI141" s="27" t="n">
        <f aca="false">IF(AG141-AH141&lt;0.005,0,AG141-AH141)</f>
        <v>0</v>
      </c>
      <c r="AJ141" s="27" t="n">
        <f aca="false">G141+K141+O141+S141+W141+AA141+AE141+AI141</f>
        <v>0</v>
      </c>
      <c r="AK141" s="28" t="n">
        <f aca="false">IF(E141&gt;0,E141-N(G140),0)+IF(I141&gt;0,I141-N(K140),0)+IF(M141&gt;0,M141-N(O140),0)+IF(Q141&gt;0,Q141-N(S140),0)+IF(U141&gt;0,U141-N(W140),0)+IF(Y141&gt;0,Y141-N(AA140),0)+IF(AC141&gt;0,AC141-N(AE140),0)+IF(AG141&gt;0,AG141-N(AI140),0)</f>
        <v>0</v>
      </c>
    </row>
    <row r="142" customFormat="false" ht="15" hidden="false" customHeight="false" outlineLevel="0" collapsed="false">
      <c r="A142" s="25" t="n">
        <v>137</v>
      </c>
      <c r="B142" s="26" t="n">
        <f aca="false">EDATE('Min gæld'!$C$16,136)</f>
        <v>50526</v>
      </c>
      <c r="C142" s="27" t="n">
        <f aca="false">N('Min gæld'!$C$15)+IF(N(G141)&lt;=0.005,N('Min gæld'!$E$5),0)+IF(N(K141)&lt;=0.005,N('Min gæld'!$E$6),0)+IF(N(O141)&lt;=0.005,N('Min gæld'!$E$7),0)+IF(N(S141)&lt;=0.005,N('Min gæld'!$E$8),0)+IF(N(W141)&lt;=0.005,N('Min gæld'!$E$9),0)+IF(N(AA141)&lt;=0.005,N('Min gæld'!$E$10),0)+IF(N(AE141)&lt;=0.005,N('Min gæld'!$E$11),0)+IF(N(AI141)&lt;=0.005,N('Min gæld'!$E$12),0)</f>
        <v>4800</v>
      </c>
      <c r="D142" s="27" t="n">
        <f aca="false">MAX(0,C142)</f>
        <v>4800</v>
      </c>
      <c r="E142" s="27" t="n">
        <f aca="false">IF(N(G141)&lt;=0.005,0,N(G141)*(1+N('Min gæld'!$D$5)/12))</f>
        <v>0</v>
      </c>
      <c r="F142" s="27" t="n">
        <f aca="false">IF(E142&lt;=0,0,MIN(E142,N('Min gæld'!$E$5)+D142))</f>
        <v>0</v>
      </c>
      <c r="G142" s="27" t="n">
        <f aca="false">IF(E142-F142&lt;0.005,0,E142-F142)</f>
        <v>0</v>
      </c>
      <c r="H142" s="27" t="n">
        <f aca="false">MAX(0,IF(N(G141)&lt;=0.005,D142,D142+N('Min gæld'!$E$5)-F142))</f>
        <v>4800</v>
      </c>
      <c r="I142" s="27" t="n">
        <f aca="false">IF(N(K141)&lt;=0.005,0,N(K141)*(1+N('Min gæld'!$D$6)/12))</f>
        <v>0</v>
      </c>
      <c r="J142" s="27" t="n">
        <f aca="false">IF(I142&lt;=0,0,MIN(I142,N('Min gæld'!$E$6)+H142))</f>
        <v>0</v>
      </c>
      <c r="K142" s="27" t="n">
        <f aca="false">IF(I142-J142&lt;0.005,0,I142-J142)</f>
        <v>0</v>
      </c>
      <c r="L142" s="27" t="n">
        <f aca="false">MAX(0,IF(N(K141)&lt;=0.005,H142,H142+N('Min gæld'!$E$6)-J142))</f>
        <v>4800</v>
      </c>
      <c r="M142" s="27" t="n">
        <f aca="false">IF(N(O141)&lt;=0.005,0,N(O141)*(1+N('Min gæld'!$D$7)/12))</f>
        <v>0</v>
      </c>
      <c r="N142" s="27" t="n">
        <f aca="false">IF(M142&lt;=0,0,MIN(M142,N('Min gæld'!$E$7)+L142))</f>
        <v>0</v>
      </c>
      <c r="O142" s="27" t="n">
        <f aca="false">IF(M142-N142&lt;0.005,0,M142-N142)</f>
        <v>0</v>
      </c>
      <c r="P142" s="27" t="n">
        <f aca="false">MAX(0,IF(N(O141)&lt;=0.005,L142,L142+N('Min gæld'!$E$7)-N142))</f>
        <v>4800</v>
      </c>
      <c r="Q142" s="27" t="n">
        <f aca="false">IF(N(S141)&lt;=0.005,0,N(S141)*(1+N('Min gæld'!$D$8)/12))</f>
        <v>0</v>
      </c>
      <c r="R142" s="27" t="n">
        <f aca="false">IF(Q142&lt;=0,0,MIN(Q142,N('Min gæld'!$E$8)+P142))</f>
        <v>0</v>
      </c>
      <c r="S142" s="27" t="n">
        <f aca="false">IF(Q142-R142&lt;0.005,0,Q142-R142)</f>
        <v>0</v>
      </c>
      <c r="T142" s="27" t="n">
        <f aca="false">MAX(0,IF(N(S141)&lt;=0.005,P142,P142+N('Min gæld'!$E$8)-R142))</f>
        <v>4800</v>
      </c>
      <c r="U142" s="27" t="n">
        <f aca="false">IF(N(W141)&lt;=0.005,0,N(W141)*(1+N('Min gæld'!$D$9)/12))</f>
        <v>0</v>
      </c>
      <c r="V142" s="27" t="n">
        <f aca="false">IF(U142&lt;=0,0,MIN(U142,N('Min gæld'!$E$9)+T142))</f>
        <v>0</v>
      </c>
      <c r="W142" s="27" t="n">
        <f aca="false">IF(U142-V142&lt;0.005,0,U142-V142)</f>
        <v>0</v>
      </c>
      <c r="X142" s="27" t="n">
        <f aca="false">MAX(0,IF(N(W141)&lt;=0.005,T142,T142+N('Min gæld'!$E$9)-V142))</f>
        <v>4800</v>
      </c>
      <c r="Y142" s="27" t="n">
        <f aca="false">IF(N(AA141)&lt;=0.005,0,N(AA141)*(1+N('Min gæld'!$D$10)/12))</f>
        <v>0</v>
      </c>
      <c r="Z142" s="27" t="n">
        <f aca="false">IF(Y142&lt;=0,0,MIN(Y142,N('Min gæld'!$E$10)+X142))</f>
        <v>0</v>
      </c>
      <c r="AA142" s="27" t="n">
        <f aca="false">IF(Y142-Z142&lt;0.005,0,Y142-Z142)</f>
        <v>0</v>
      </c>
      <c r="AB142" s="27" t="n">
        <f aca="false">MAX(0,IF(N(AA141)&lt;=0.005,X142,X142+N('Min gæld'!$E$10)-Z142))</f>
        <v>4800</v>
      </c>
      <c r="AC142" s="27" t="n">
        <f aca="false">IF(N(AE141)&lt;=0.005,0,N(AE141)*(1+N('Min gæld'!$D$11)/12))</f>
        <v>0</v>
      </c>
      <c r="AD142" s="27" t="n">
        <f aca="false">IF(AC142&lt;=0,0,MIN(AC142,N('Min gæld'!$E$11)+AB142))</f>
        <v>0</v>
      </c>
      <c r="AE142" s="27" t="n">
        <f aca="false">IF(AC142-AD142&lt;0.005,0,AC142-AD142)</f>
        <v>0</v>
      </c>
      <c r="AF142" s="27" t="n">
        <f aca="false">MAX(0,IF(N(AE141)&lt;=0.005,AB142,AB142+N('Min gæld'!$E$11)-AD142))</f>
        <v>4800</v>
      </c>
      <c r="AG142" s="27" t="n">
        <f aca="false">IF(N(AI141)&lt;=0.005,0,N(AI141)*(1+N('Min gæld'!$D$12)/12))</f>
        <v>0</v>
      </c>
      <c r="AH142" s="27" t="n">
        <f aca="false">IF(AG142&lt;=0,0,MIN(AG142,N('Min gæld'!$E$12)+AF142))</f>
        <v>0</v>
      </c>
      <c r="AI142" s="27" t="n">
        <f aca="false">IF(AG142-AH142&lt;0.005,0,AG142-AH142)</f>
        <v>0</v>
      </c>
      <c r="AJ142" s="27" t="n">
        <f aca="false">G142+K142+O142+S142+W142+AA142+AE142+AI142</f>
        <v>0</v>
      </c>
      <c r="AK142" s="28" t="n">
        <f aca="false">IF(E142&gt;0,E142-N(G141),0)+IF(I142&gt;0,I142-N(K141),0)+IF(M142&gt;0,M142-N(O141),0)+IF(Q142&gt;0,Q142-N(S141),0)+IF(U142&gt;0,U142-N(W141),0)+IF(Y142&gt;0,Y142-N(AA141),0)+IF(AC142&gt;0,AC142-N(AE141),0)+IF(AG142&gt;0,AG142-N(AI141),0)</f>
        <v>0</v>
      </c>
    </row>
    <row r="143" customFormat="false" ht="15" hidden="false" customHeight="false" outlineLevel="0" collapsed="false">
      <c r="A143" s="25" t="n">
        <v>138</v>
      </c>
      <c r="B143" s="26" t="n">
        <f aca="false">EDATE('Min gæld'!$C$16,137)</f>
        <v>50557</v>
      </c>
      <c r="C143" s="27" t="n">
        <f aca="false">N('Min gæld'!$C$15)+IF(N(G142)&lt;=0.005,N('Min gæld'!$E$5),0)+IF(N(K142)&lt;=0.005,N('Min gæld'!$E$6),0)+IF(N(O142)&lt;=0.005,N('Min gæld'!$E$7),0)+IF(N(S142)&lt;=0.005,N('Min gæld'!$E$8),0)+IF(N(W142)&lt;=0.005,N('Min gæld'!$E$9),0)+IF(N(AA142)&lt;=0.005,N('Min gæld'!$E$10),0)+IF(N(AE142)&lt;=0.005,N('Min gæld'!$E$11),0)+IF(N(AI142)&lt;=0.005,N('Min gæld'!$E$12),0)</f>
        <v>4800</v>
      </c>
      <c r="D143" s="27" t="n">
        <f aca="false">MAX(0,C143)</f>
        <v>4800</v>
      </c>
      <c r="E143" s="27" t="n">
        <f aca="false">IF(N(G142)&lt;=0.005,0,N(G142)*(1+N('Min gæld'!$D$5)/12))</f>
        <v>0</v>
      </c>
      <c r="F143" s="27" t="n">
        <f aca="false">IF(E143&lt;=0,0,MIN(E143,N('Min gæld'!$E$5)+D143))</f>
        <v>0</v>
      </c>
      <c r="G143" s="27" t="n">
        <f aca="false">IF(E143-F143&lt;0.005,0,E143-F143)</f>
        <v>0</v>
      </c>
      <c r="H143" s="27" t="n">
        <f aca="false">MAX(0,IF(N(G142)&lt;=0.005,D143,D143+N('Min gæld'!$E$5)-F143))</f>
        <v>4800</v>
      </c>
      <c r="I143" s="27" t="n">
        <f aca="false">IF(N(K142)&lt;=0.005,0,N(K142)*(1+N('Min gæld'!$D$6)/12))</f>
        <v>0</v>
      </c>
      <c r="J143" s="27" t="n">
        <f aca="false">IF(I143&lt;=0,0,MIN(I143,N('Min gæld'!$E$6)+H143))</f>
        <v>0</v>
      </c>
      <c r="K143" s="27" t="n">
        <f aca="false">IF(I143-J143&lt;0.005,0,I143-J143)</f>
        <v>0</v>
      </c>
      <c r="L143" s="27" t="n">
        <f aca="false">MAX(0,IF(N(K142)&lt;=0.005,H143,H143+N('Min gæld'!$E$6)-J143))</f>
        <v>4800</v>
      </c>
      <c r="M143" s="27" t="n">
        <f aca="false">IF(N(O142)&lt;=0.005,0,N(O142)*(1+N('Min gæld'!$D$7)/12))</f>
        <v>0</v>
      </c>
      <c r="N143" s="27" t="n">
        <f aca="false">IF(M143&lt;=0,0,MIN(M143,N('Min gæld'!$E$7)+L143))</f>
        <v>0</v>
      </c>
      <c r="O143" s="27" t="n">
        <f aca="false">IF(M143-N143&lt;0.005,0,M143-N143)</f>
        <v>0</v>
      </c>
      <c r="P143" s="27" t="n">
        <f aca="false">MAX(0,IF(N(O142)&lt;=0.005,L143,L143+N('Min gæld'!$E$7)-N143))</f>
        <v>4800</v>
      </c>
      <c r="Q143" s="27" t="n">
        <f aca="false">IF(N(S142)&lt;=0.005,0,N(S142)*(1+N('Min gæld'!$D$8)/12))</f>
        <v>0</v>
      </c>
      <c r="R143" s="27" t="n">
        <f aca="false">IF(Q143&lt;=0,0,MIN(Q143,N('Min gæld'!$E$8)+P143))</f>
        <v>0</v>
      </c>
      <c r="S143" s="27" t="n">
        <f aca="false">IF(Q143-R143&lt;0.005,0,Q143-R143)</f>
        <v>0</v>
      </c>
      <c r="T143" s="27" t="n">
        <f aca="false">MAX(0,IF(N(S142)&lt;=0.005,P143,P143+N('Min gæld'!$E$8)-R143))</f>
        <v>4800</v>
      </c>
      <c r="U143" s="27" t="n">
        <f aca="false">IF(N(W142)&lt;=0.005,0,N(W142)*(1+N('Min gæld'!$D$9)/12))</f>
        <v>0</v>
      </c>
      <c r="V143" s="27" t="n">
        <f aca="false">IF(U143&lt;=0,0,MIN(U143,N('Min gæld'!$E$9)+T143))</f>
        <v>0</v>
      </c>
      <c r="W143" s="27" t="n">
        <f aca="false">IF(U143-V143&lt;0.005,0,U143-V143)</f>
        <v>0</v>
      </c>
      <c r="X143" s="27" t="n">
        <f aca="false">MAX(0,IF(N(W142)&lt;=0.005,T143,T143+N('Min gæld'!$E$9)-V143))</f>
        <v>4800</v>
      </c>
      <c r="Y143" s="27" t="n">
        <f aca="false">IF(N(AA142)&lt;=0.005,0,N(AA142)*(1+N('Min gæld'!$D$10)/12))</f>
        <v>0</v>
      </c>
      <c r="Z143" s="27" t="n">
        <f aca="false">IF(Y143&lt;=0,0,MIN(Y143,N('Min gæld'!$E$10)+X143))</f>
        <v>0</v>
      </c>
      <c r="AA143" s="27" t="n">
        <f aca="false">IF(Y143-Z143&lt;0.005,0,Y143-Z143)</f>
        <v>0</v>
      </c>
      <c r="AB143" s="27" t="n">
        <f aca="false">MAX(0,IF(N(AA142)&lt;=0.005,X143,X143+N('Min gæld'!$E$10)-Z143))</f>
        <v>4800</v>
      </c>
      <c r="AC143" s="27" t="n">
        <f aca="false">IF(N(AE142)&lt;=0.005,0,N(AE142)*(1+N('Min gæld'!$D$11)/12))</f>
        <v>0</v>
      </c>
      <c r="AD143" s="27" t="n">
        <f aca="false">IF(AC143&lt;=0,0,MIN(AC143,N('Min gæld'!$E$11)+AB143))</f>
        <v>0</v>
      </c>
      <c r="AE143" s="27" t="n">
        <f aca="false">IF(AC143-AD143&lt;0.005,0,AC143-AD143)</f>
        <v>0</v>
      </c>
      <c r="AF143" s="27" t="n">
        <f aca="false">MAX(0,IF(N(AE142)&lt;=0.005,AB143,AB143+N('Min gæld'!$E$11)-AD143))</f>
        <v>4800</v>
      </c>
      <c r="AG143" s="27" t="n">
        <f aca="false">IF(N(AI142)&lt;=0.005,0,N(AI142)*(1+N('Min gæld'!$D$12)/12))</f>
        <v>0</v>
      </c>
      <c r="AH143" s="27" t="n">
        <f aca="false">IF(AG143&lt;=0,0,MIN(AG143,N('Min gæld'!$E$12)+AF143))</f>
        <v>0</v>
      </c>
      <c r="AI143" s="27" t="n">
        <f aca="false">IF(AG143-AH143&lt;0.005,0,AG143-AH143)</f>
        <v>0</v>
      </c>
      <c r="AJ143" s="27" t="n">
        <f aca="false">G143+K143+O143+S143+W143+AA143+AE143+AI143</f>
        <v>0</v>
      </c>
      <c r="AK143" s="28" t="n">
        <f aca="false">IF(E143&gt;0,E143-N(G142),0)+IF(I143&gt;0,I143-N(K142),0)+IF(M143&gt;0,M143-N(O142),0)+IF(Q143&gt;0,Q143-N(S142),0)+IF(U143&gt;0,U143-N(W142),0)+IF(Y143&gt;0,Y143-N(AA142),0)+IF(AC143&gt;0,AC143-N(AE142),0)+IF(AG143&gt;0,AG143-N(AI142),0)</f>
        <v>0</v>
      </c>
    </row>
    <row r="144" customFormat="false" ht="15" hidden="false" customHeight="false" outlineLevel="0" collapsed="false">
      <c r="A144" s="25" t="n">
        <v>139</v>
      </c>
      <c r="B144" s="26" t="n">
        <f aca="false">EDATE('Min gæld'!$C$16,138)</f>
        <v>50587</v>
      </c>
      <c r="C144" s="27" t="n">
        <f aca="false">N('Min gæld'!$C$15)+IF(N(G143)&lt;=0.005,N('Min gæld'!$E$5),0)+IF(N(K143)&lt;=0.005,N('Min gæld'!$E$6),0)+IF(N(O143)&lt;=0.005,N('Min gæld'!$E$7),0)+IF(N(S143)&lt;=0.005,N('Min gæld'!$E$8),0)+IF(N(W143)&lt;=0.005,N('Min gæld'!$E$9),0)+IF(N(AA143)&lt;=0.005,N('Min gæld'!$E$10),0)+IF(N(AE143)&lt;=0.005,N('Min gæld'!$E$11),0)+IF(N(AI143)&lt;=0.005,N('Min gæld'!$E$12),0)</f>
        <v>4800</v>
      </c>
      <c r="D144" s="27" t="n">
        <f aca="false">MAX(0,C144)</f>
        <v>4800</v>
      </c>
      <c r="E144" s="27" t="n">
        <f aca="false">IF(N(G143)&lt;=0.005,0,N(G143)*(1+N('Min gæld'!$D$5)/12))</f>
        <v>0</v>
      </c>
      <c r="F144" s="27" t="n">
        <f aca="false">IF(E144&lt;=0,0,MIN(E144,N('Min gæld'!$E$5)+D144))</f>
        <v>0</v>
      </c>
      <c r="G144" s="27" t="n">
        <f aca="false">IF(E144-F144&lt;0.005,0,E144-F144)</f>
        <v>0</v>
      </c>
      <c r="H144" s="27" t="n">
        <f aca="false">MAX(0,IF(N(G143)&lt;=0.005,D144,D144+N('Min gæld'!$E$5)-F144))</f>
        <v>4800</v>
      </c>
      <c r="I144" s="27" t="n">
        <f aca="false">IF(N(K143)&lt;=0.005,0,N(K143)*(1+N('Min gæld'!$D$6)/12))</f>
        <v>0</v>
      </c>
      <c r="J144" s="27" t="n">
        <f aca="false">IF(I144&lt;=0,0,MIN(I144,N('Min gæld'!$E$6)+H144))</f>
        <v>0</v>
      </c>
      <c r="K144" s="27" t="n">
        <f aca="false">IF(I144-J144&lt;0.005,0,I144-J144)</f>
        <v>0</v>
      </c>
      <c r="L144" s="27" t="n">
        <f aca="false">MAX(0,IF(N(K143)&lt;=0.005,H144,H144+N('Min gæld'!$E$6)-J144))</f>
        <v>4800</v>
      </c>
      <c r="M144" s="27" t="n">
        <f aca="false">IF(N(O143)&lt;=0.005,0,N(O143)*(1+N('Min gæld'!$D$7)/12))</f>
        <v>0</v>
      </c>
      <c r="N144" s="27" t="n">
        <f aca="false">IF(M144&lt;=0,0,MIN(M144,N('Min gæld'!$E$7)+L144))</f>
        <v>0</v>
      </c>
      <c r="O144" s="27" t="n">
        <f aca="false">IF(M144-N144&lt;0.005,0,M144-N144)</f>
        <v>0</v>
      </c>
      <c r="P144" s="27" t="n">
        <f aca="false">MAX(0,IF(N(O143)&lt;=0.005,L144,L144+N('Min gæld'!$E$7)-N144))</f>
        <v>4800</v>
      </c>
      <c r="Q144" s="27" t="n">
        <f aca="false">IF(N(S143)&lt;=0.005,0,N(S143)*(1+N('Min gæld'!$D$8)/12))</f>
        <v>0</v>
      </c>
      <c r="R144" s="27" t="n">
        <f aca="false">IF(Q144&lt;=0,0,MIN(Q144,N('Min gæld'!$E$8)+P144))</f>
        <v>0</v>
      </c>
      <c r="S144" s="27" t="n">
        <f aca="false">IF(Q144-R144&lt;0.005,0,Q144-R144)</f>
        <v>0</v>
      </c>
      <c r="T144" s="27" t="n">
        <f aca="false">MAX(0,IF(N(S143)&lt;=0.005,P144,P144+N('Min gæld'!$E$8)-R144))</f>
        <v>4800</v>
      </c>
      <c r="U144" s="27" t="n">
        <f aca="false">IF(N(W143)&lt;=0.005,0,N(W143)*(1+N('Min gæld'!$D$9)/12))</f>
        <v>0</v>
      </c>
      <c r="V144" s="27" t="n">
        <f aca="false">IF(U144&lt;=0,0,MIN(U144,N('Min gæld'!$E$9)+T144))</f>
        <v>0</v>
      </c>
      <c r="W144" s="27" t="n">
        <f aca="false">IF(U144-V144&lt;0.005,0,U144-V144)</f>
        <v>0</v>
      </c>
      <c r="X144" s="27" t="n">
        <f aca="false">MAX(0,IF(N(W143)&lt;=0.005,T144,T144+N('Min gæld'!$E$9)-V144))</f>
        <v>4800</v>
      </c>
      <c r="Y144" s="27" t="n">
        <f aca="false">IF(N(AA143)&lt;=0.005,0,N(AA143)*(1+N('Min gæld'!$D$10)/12))</f>
        <v>0</v>
      </c>
      <c r="Z144" s="27" t="n">
        <f aca="false">IF(Y144&lt;=0,0,MIN(Y144,N('Min gæld'!$E$10)+X144))</f>
        <v>0</v>
      </c>
      <c r="AA144" s="27" t="n">
        <f aca="false">IF(Y144-Z144&lt;0.005,0,Y144-Z144)</f>
        <v>0</v>
      </c>
      <c r="AB144" s="27" t="n">
        <f aca="false">MAX(0,IF(N(AA143)&lt;=0.005,X144,X144+N('Min gæld'!$E$10)-Z144))</f>
        <v>4800</v>
      </c>
      <c r="AC144" s="27" t="n">
        <f aca="false">IF(N(AE143)&lt;=0.005,0,N(AE143)*(1+N('Min gæld'!$D$11)/12))</f>
        <v>0</v>
      </c>
      <c r="AD144" s="27" t="n">
        <f aca="false">IF(AC144&lt;=0,0,MIN(AC144,N('Min gæld'!$E$11)+AB144))</f>
        <v>0</v>
      </c>
      <c r="AE144" s="27" t="n">
        <f aca="false">IF(AC144-AD144&lt;0.005,0,AC144-AD144)</f>
        <v>0</v>
      </c>
      <c r="AF144" s="27" t="n">
        <f aca="false">MAX(0,IF(N(AE143)&lt;=0.005,AB144,AB144+N('Min gæld'!$E$11)-AD144))</f>
        <v>4800</v>
      </c>
      <c r="AG144" s="27" t="n">
        <f aca="false">IF(N(AI143)&lt;=0.005,0,N(AI143)*(1+N('Min gæld'!$D$12)/12))</f>
        <v>0</v>
      </c>
      <c r="AH144" s="27" t="n">
        <f aca="false">IF(AG144&lt;=0,0,MIN(AG144,N('Min gæld'!$E$12)+AF144))</f>
        <v>0</v>
      </c>
      <c r="AI144" s="27" t="n">
        <f aca="false">IF(AG144-AH144&lt;0.005,0,AG144-AH144)</f>
        <v>0</v>
      </c>
      <c r="AJ144" s="27" t="n">
        <f aca="false">G144+K144+O144+S144+W144+AA144+AE144+AI144</f>
        <v>0</v>
      </c>
      <c r="AK144" s="28" t="n">
        <f aca="false">IF(E144&gt;0,E144-N(G143),0)+IF(I144&gt;0,I144-N(K143),0)+IF(M144&gt;0,M144-N(O143),0)+IF(Q144&gt;0,Q144-N(S143),0)+IF(U144&gt;0,U144-N(W143),0)+IF(Y144&gt;0,Y144-N(AA143),0)+IF(AC144&gt;0,AC144-N(AE143),0)+IF(AG144&gt;0,AG144-N(AI143),0)</f>
        <v>0</v>
      </c>
    </row>
    <row r="145" customFormat="false" ht="15" hidden="false" customHeight="false" outlineLevel="0" collapsed="false">
      <c r="A145" s="25" t="n">
        <v>140</v>
      </c>
      <c r="B145" s="26" t="n">
        <f aca="false">EDATE('Min gæld'!$C$16,139)</f>
        <v>50618</v>
      </c>
      <c r="C145" s="27" t="n">
        <f aca="false">N('Min gæld'!$C$15)+IF(N(G144)&lt;=0.005,N('Min gæld'!$E$5),0)+IF(N(K144)&lt;=0.005,N('Min gæld'!$E$6),0)+IF(N(O144)&lt;=0.005,N('Min gæld'!$E$7),0)+IF(N(S144)&lt;=0.005,N('Min gæld'!$E$8),0)+IF(N(W144)&lt;=0.005,N('Min gæld'!$E$9),0)+IF(N(AA144)&lt;=0.005,N('Min gæld'!$E$10),0)+IF(N(AE144)&lt;=0.005,N('Min gæld'!$E$11),0)+IF(N(AI144)&lt;=0.005,N('Min gæld'!$E$12),0)</f>
        <v>4800</v>
      </c>
      <c r="D145" s="27" t="n">
        <f aca="false">MAX(0,C145)</f>
        <v>4800</v>
      </c>
      <c r="E145" s="27" t="n">
        <f aca="false">IF(N(G144)&lt;=0.005,0,N(G144)*(1+N('Min gæld'!$D$5)/12))</f>
        <v>0</v>
      </c>
      <c r="F145" s="27" t="n">
        <f aca="false">IF(E145&lt;=0,0,MIN(E145,N('Min gæld'!$E$5)+D145))</f>
        <v>0</v>
      </c>
      <c r="G145" s="27" t="n">
        <f aca="false">IF(E145-F145&lt;0.005,0,E145-F145)</f>
        <v>0</v>
      </c>
      <c r="H145" s="27" t="n">
        <f aca="false">MAX(0,IF(N(G144)&lt;=0.005,D145,D145+N('Min gæld'!$E$5)-F145))</f>
        <v>4800</v>
      </c>
      <c r="I145" s="27" t="n">
        <f aca="false">IF(N(K144)&lt;=0.005,0,N(K144)*(1+N('Min gæld'!$D$6)/12))</f>
        <v>0</v>
      </c>
      <c r="J145" s="27" t="n">
        <f aca="false">IF(I145&lt;=0,0,MIN(I145,N('Min gæld'!$E$6)+H145))</f>
        <v>0</v>
      </c>
      <c r="K145" s="27" t="n">
        <f aca="false">IF(I145-J145&lt;0.005,0,I145-J145)</f>
        <v>0</v>
      </c>
      <c r="L145" s="27" t="n">
        <f aca="false">MAX(0,IF(N(K144)&lt;=0.005,H145,H145+N('Min gæld'!$E$6)-J145))</f>
        <v>4800</v>
      </c>
      <c r="M145" s="27" t="n">
        <f aca="false">IF(N(O144)&lt;=0.005,0,N(O144)*(1+N('Min gæld'!$D$7)/12))</f>
        <v>0</v>
      </c>
      <c r="N145" s="27" t="n">
        <f aca="false">IF(M145&lt;=0,0,MIN(M145,N('Min gæld'!$E$7)+L145))</f>
        <v>0</v>
      </c>
      <c r="O145" s="27" t="n">
        <f aca="false">IF(M145-N145&lt;0.005,0,M145-N145)</f>
        <v>0</v>
      </c>
      <c r="P145" s="27" t="n">
        <f aca="false">MAX(0,IF(N(O144)&lt;=0.005,L145,L145+N('Min gæld'!$E$7)-N145))</f>
        <v>4800</v>
      </c>
      <c r="Q145" s="27" t="n">
        <f aca="false">IF(N(S144)&lt;=0.005,0,N(S144)*(1+N('Min gæld'!$D$8)/12))</f>
        <v>0</v>
      </c>
      <c r="R145" s="27" t="n">
        <f aca="false">IF(Q145&lt;=0,0,MIN(Q145,N('Min gæld'!$E$8)+P145))</f>
        <v>0</v>
      </c>
      <c r="S145" s="27" t="n">
        <f aca="false">IF(Q145-R145&lt;0.005,0,Q145-R145)</f>
        <v>0</v>
      </c>
      <c r="T145" s="27" t="n">
        <f aca="false">MAX(0,IF(N(S144)&lt;=0.005,P145,P145+N('Min gæld'!$E$8)-R145))</f>
        <v>4800</v>
      </c>
      <c r="U145" s="27" t="n">
        <f aca="false">IF(N(W144)&lt;=0.005,0,N(W144)*(1+N('Min gæld'!$D$9)/12))</f>
        <v>0</v>
      </c>
      <c r="V145" s="27" t="n">
        <f aca="false">IF(U145&lt;=0,0,MIN(U145,N('Min gæld'!$E$9)+T145))</f>
        <v>0</v>
      </c>
      <c r="W145" s="27" t="n">
        <f aca="false">IF(U145-V145&lt;0.005,0,U145-V145)</f>
        <v>0</v>
      </c>
      <c r="X145" s="27" t="n">
        <f aca="false">MAX(0,IF(N(W144)&lt;=0.005,T145,T145+N('Min gæld'!$E$9)-V145))</f>
        <v>4800</v>
      </c>
      <c r="Y145" s="27" t="n">
        <f aca="false">IF(N(AA144)&lt;=0.005,0,N(AA144)*(1+N('Min gæld'!$D$10)/12))</f>
        <v>0</v>
      </c>
      <c r="Z145" s="27" t="n">
        <f aca="false">IF(Y145&lt;=0,0,MIN(Y145,N('Min gæld'!$E$10)+X145))</f>
        <v>0</v>
      </c>
      <c r="AA145" s="27" t="n">
        <f aca="false">IF(Y145-Z145&lt;0.005,0,Y145-Z145)</f>
        <v>0</v>
      </c>
      <c r="AB145" s="27" t="n">
        <f aca="false">MAX(0,IF(N(AA144)&lt;=0.005,X145,X145+N('Min gæld'!$E$10)-Z145))</f>
        <v>4800</v>
      </c>
      <c r="AC145" s="27" t="n">
        <f aca="false">IF(N(AE144)&lt;=0.005,0,N(AE144)*(1+N('Min gæld'!$D$11)/12))</f>
        <v>0</v>
      </c>
      <c r="AD145" s="27" t="n">
        <f aca="false">IF(AC145&lt;=0,0,MIN(AC145,N('Min gæld'!$E$11)+AB145))</f>
        <v>0</v>
      </c>
      <c r="AE145" s="27" t="n">
        <f aca="false">IF(AC145-AD145&lt;0.005,0,AC145-AD145)</f>
        <v>0</v>
      </c>
      <c r="AF145" s="27" t="n">
        <f aca="false">MAX(0,IF(N(AE144)&lt;=0.005,AB145,AB145+N('Min gæld'!$E$11)-AD145))</f>
        <v>4800</v>
      </c>
      <c r="AG145" s="27" t="n">
        <f aca="false">IF(N(AI144)&lt;=0.005,0,N(AI144)*(1+N('Min gæld'!$D$12)/12))</f>
        <v>0</v>
      </c>
      <c r="AH145" s="27" t="n">
        <f aca="false">IF(AG145&lt;=0,0,MIN(AG145,N('Min gæld'!$E$12)+AF145))</f>
        <v>0</v>
      </c>
      <c r="AI145" s="27" t="n">
        <f aca="false">IF(AG145-AH145&lt;0.005,0,AG145-AH145)</f>
        <v>0</v>
      </c>
      <c r="AJ145" s="27" t="n">
        <f aca="false">G145+K145+O145+S145+W145+AA145+AE145+AI145</f>
        <v>0</v>
      </c>
      <c r="AK145" s="28" t="n">
        <f aca="false">IF(E145&gt;0,E145-N(G144),0)+IF(I145&gt;0,I145-N(K144),0)+IF(M145&gt;0,M145-N(O144),0)+IF(Q145&gt;0,Q145-N(S144),0)+IF(U145&gt;0,U145-N(W144),0)+IF(Y145&gt;0,Y145-N(AA144),0)+IF(AC145&gt;0,AC145-N(AE144),0)+IF(AG145&gt;0,AG145-N(AI144),0)</f>
        <v>0</v>
      </c>
    </row>
    <row r="146" customFormat="false" ht="15" hidden="false" customHeight="false" outlineLevel="0" collapsed="false">
      <c r="A146" s="25" t="n">
        <v>141</v>
      </c>
      <c r="B146" s="26" t="n">
        <f aca="false">EDATE('Min gæld'!$C$16,140)</f>
        <v>50649</v>
      </c>
      <c r="C146" s="27" t="n">
        <f aca="false">N('Min gæld'!$C$15)+IF(N(G145)&lt;=0.005,N('Min gæld'!$E$5),0)+IF(N(K145)&lt;=0.005,N('Min gæld'!$E$6),0)+IF(N(O145)&lt;=0.005,N('Min gæld'!$E$7),0)+IF(N(S145)&lt;=0.005,N('Min gæld'!$E$8),0)+IF(N(W145)&lt;=0.005,N('Min gæld'!$E$9),0)+IF(N(AA145)&lt;=0.005,N('Min gæld'!$E$10),0)+IF(N(AE145)&lt;=0.005,N('Min gæld'!$E$11),0)+IF(N(AI145)&lt;=0.005,N('Min gæld'!$E$12),0)</f>
        <v>4800</v>
      </c>
      <c r="D146" s="27" t="n">
        <f aca="false">MAX(0,C146)</f>
        <v>4800</v>
      </c>
      <c r="E146" s="27" t="n">
        <f aca="false">IF(N(G145)&lt;=0.005,0,N(G145)*(1+N('Min gæld'!$D$5)/12))</f>
        <v>0</v>
      </c>
      <c r="F146" s="27" t="n">
        <f aca="false">IF(E146&lt;=0,0,MIN(E146,N('Min gæld'!$E$5)+D146))</f>
        <v>0</v>
      </c>
      <c r="G146" s="27" t="n">
        <f aca="false">IF(E146-F146&lt;0.005,0,E146-F146)</f>
        <v>0</v>
      </c>
      <c r="H146" s="27" t="n">
        <f aca="false">MAX(0,IF(N(G145)&lt;=0.005,D146,D146+N('Min gæld'!$E$5)-F146))</f>
        <v>4800</v>
      </c>
      <c r="I146" s="27" t="n">
        <f aca="false">IF(N(K145)&lt;=0.005,0,N(K145)*(1+N('Min gæld'!$D$6)/12))</f>
        <v>0</v>
      </c>
      <c r="J146" s="27" t="n">
        <f aca="false">IF(I146&lt;=0,0,MIN(I146,N('Min gæld'!$E$6)+H146))</f>
        <v>0</v>
      </c>
      <c r="K146" s="27" t="n">
        <f aca="false">IF(I146-J146&lt;0.005,0,I146-J146)</f>
        <v>0</v>
      </c>
      <c r="L146" s="27" t="n">
        <f aca="false">MAX(0,IF(N(K145)&lt;=0.005,H146,H146+N('Min gæld'!$E$6)-J146))</f>
        <v>4800</v>
      </c>
      <c r="M146" s="27" t="n">
        <f aca="false">IF(N(O145)&lt;=0.005,0,N(O145)*(1+N('Min gæld'!$D$7)/12))</f>
        <v>0</v>
      </c>
      <c r="N146" s="27" t="n">
        <f aca="false">IF(M146&lt;=0,0,MIN(M146,N('Min gæld'!$E$7)+L146))</f>
        <v>0</v>
      </c>
      <c r="O146" s="27" t="n">
        <f aca="false">IF(M146-N146&lt;0.005,0,M146-N146)</f>
        <v>0</v>
      </c>
      <c r="P146" s="27" t="n">
        <f aca="false">MAX(0,IF(N(O145)&lt;=0.005,L146,L146+N('Min gæld'!$E$7)-N146))</f>
        <v>4800</v>
      </c>
      <c r="Q146" s="27" t="n">
        <f aca="false">IF(N(S145)&lt;=0.005,0,N(S145)*(1+N('Min gæld'!$D$8)/12))</f>
        <v>0</v>
      </c>
      <c r="R146" s="27" t="n">
        <f aca="false">IF(Q146&lt;=0,0,MIN(Q146,N('Min gæld'!$E$8)+P146))</f>
        <v>0</v>
      </c>
      <c r="S146" s="27" t="n">
        <f aca="false">IF(Q146-R146&lt;0.005,0,Q146-R146)</f>
        <v>0</v>
      </c>
      <c r="T146" s="27" t="n">
        <f aca="false">MAX(0,IF(N(S145)&lt;=0.005,P146,P146+N('Min gæld'!$E$8)-R146))</f>
        <v>4800</v>
      </c>
      <c r="U146" s="27" t="n">
        <f aca="false">IF(N(W145)&lt;=0.005,0,N(W145)*(1+N('Min gæld'!$D$9)/12))</f>
        <v>0</v>
      </c>
      <c r="V146" s="27" t="n">
        <f aca="false">IF(U146&lt;=0,0,MIN(U146,N('Min gæld'!$E$9)+T146))</f>
        <v>0</v>
      </c>
      <c r="W146" s="27" t="n">
        <f aca="false">IF(U146-V146&lt;0.005,0,U146-V146)</f>
        <v>0</v>
      </c>
      <c r="X146" s="27" t="n">
        <f aca="false">MAX(0,IF(N(W145)&lt;=0.005,T146,T146+N('Min gæld'!$E$9)-V146))</f>
        <v>4800</v>
      </c>
      <c r="Y146" s="27" t="n">
        <f aca="false">IF(N(AA145)&lt;=0.005,0,N(AA145)*(1+N('Min gæld'!$D$10)/12))</f>
        <v>0</v>
      </c>
      <c r="Z146" s="27" t="n">
        <f aca="false">IF(Y146&lt;=0,0,MIN(Y146,N('Min gæld'!$E$10)+X146))</f>
        <v>0</v>
      </c>
      <c r="AA146" s="27" t="n">
        <f aca="false">IF(Y146-Z146&lt;0.005,0,Y146-Z146)</f>
        <v>0</v>
      </c>
      <c r="AB146" s="27" t="n">
        <f aca="false">MAX(0,IF(N(AA145)&lt;=0.005,X146,X146+N('Min gæld'!$E$10)-Z146))</f>
        <v>4800</v>
      </c>
      <c r="AC146" s="27" t="n">
        <f aca="false">IF(N(AE145)&lt;=0.005,0,N(AE145)*(1+N('Min gæld'!$D$11)/12))</f>
        <v>0</v>
      </c>
      <c r="AD146" s="27" t="n">
        <f aca="false">IF(AC146&lt;=0,0,MIN(AC146,N('Min gæld'!$E$11)+AB146))</f>
        <v>0</v>
      </c>
      <c r="AE146" s="27" t="n">
        <f aca="false">IF(AC146-AD146&lt;0.005,0,AC146-AD146)</f>
        <v>0</v>
      </c>
      <c r="AF146" s="27" t="n">
        <f aca="false">MAX(0,IF(N(AE145)&lt;=0.005,AB146,AB146+N('Min gæld'!$E$11)-AD146))</f>
        <v>4800</v>
      </c>
      <c r="AG146" s="27" t="n">
        <f aca="false">IF(N(AI145)&lt;=0.005,0,N(AI145)*(1+N('Min gæld'!$D$12)/12))</f>
        <v>0</v>
      </c>
      <c r="AH146" s="27" t="n">
        <f aca="false">IF(AG146&lt;=0,0,MIN(AG146,N('Min gæld'!$E$12)+AF146))</f>
        <v>0</v>
      </c>
      <c r="AI146" s="27" t="n">
        <f aca="false">IF(AG146-AH146&lt;0.005,0,AG146-AH146)</f>
        <v>0</v>
      </c>
      <c r="AJ146" s="27" t="n">
        <f aca="false">G146+K146+O146+S146+W146+AA146+AE146+AI146</f>
        <v>0</v>
      </c>
      <c r="AK146" s="28" t="n">
        <f aca="false">IF(E146&gt;0,E146-N(G145),0)+IF(I146&gt;0,I146-N(K145),0)+IF(M146&gt;0,M146-N(O145),0)+IF(Q146&gt;0,Q146-N(S145),0)+IF(U146&gt;0,U146-N(W145),0)+IF(Y146&gt;0,Y146-N(AA145),0)+IF(AC146&gt;0,AC146-N(AE145),0)+IF(AG146&gt;0,AG146-N(AI145),0)</f>
        <v>0</v>
      </c>
    </row>
    <row r="147" customFormat="false" ht="15" hidden="false" customHeight="false" outlineLevel="0" collapsed="false">
      <c r="A147" s="25" t="n">
        <v>142</v>
      </c>
      <c r="B147" s="26" t="n">
        <f aca="false">EDATE('Min gæld'!$C$16,141)</f>
        <v>50679</v>
      </c>
      <c r="C147" s="27" t="n">
        <f aca="false">N('Min gæld'!$C$15)+IF(N(G146)&lt;=0.005,N('Min gæld'!$E$5),0)+IF(N(K146)&lt;=0.005,N('Min gæld'!$E$6),0)+IF(N(O146)&lt;=0.005,N('Min gæld'!$E$7),0)+IF(N(S146)&lt;=0.005,N('Min gæld'!$E$8),0)+IF(N(W146)&lt;=0.005,N('Min gæld'!$E$9),0)+IF(N(AA146)&lt;=0.005,N('Min gæld'!$E$10),0)+IF(N(AE146)&lt;=0.005,N('Min gæld'!$E$11),0)+IF(N(AI146)&lt;=0.005,N('Min gæld'!$E$12),0)</f>
        <v>4800</v>
      </c>
      <c r="D147" s="27" t="n">
        <f aca="false">MAX(0,C147)</f>
        <v>4800</v>
      </c>
      <c r="E147" s="27" t="n">
        <f aca="false">IF(N(G146)&lt;=0.005,0,N(G146)*(1+N('Min gæld'!$D$5)/12))</f>
        <v>0</v>
      </c>
      <c r="F147" s="27" t="n">
        <f aca="false">IF(E147&lt;=0,0,MIN(E147,N('Min gæld'!$E$5)+D147))</f>
        <v>0</v>
      </c>
      <c r="G147" s="27" t="n">
        <f aca="false">IF(E147-F147&lt;0.005,0,E147-F147)</f>
        <v>0</v>
      </c>
      <c r="H147" s="27" t="n">
        <f aca="false">MAX(0,IF(N(G146)&lt;=0.005,D147,D147+N('Min gæld'!$E$5)-F147))</f>
        <v>4800</v>
      </c>
      <c r="I147" s="27" t="n">
        <f aca="false">IF(N(K146)&lt;=0.005,0,N(K146)*(1+N('Min gæld'!$D$6)/12))</f>
        <v>0</v>
      </c>
      <c r="J147" s="27" t="n">
        <f aca="false">IF(I147&lt;=0,0,MIN(I147,N('Min gæld'!$E$6)+H147))</f>
        <v>0</v>
      </c>
      <c r="K147" s="27" t="n">
        <f aca="false">IF(I147-J147&lt;0.005,0,I147-J147)</f>
        <v>0</v>
      </c>
      <c r="L147" s="27" t="n">
        <f aca="false">MAX(0,IF(N(K146)&lt;=0.005,H147,H147+N('Min gæld'!$E$6)-J147))</f>
        <v>4800</v>
      </c>
      <c r="M147" s="27" t="n">
        <f aca="false">IF(N(O146)&lt;=0.005,0,N(O146)*(1+N('Min gæld'!$D$7)/12))</f>
        <v>0</v>
      </c>
      <c r="N147" s="27" t="n">
        <f aca="false">IF(M147&lt;=0,0,MIN(M147,N('Min gæld'!$E$7)+L147))</f>
        <v>0</v>
      </c>
      <c r="O147" s="27" t="n">
        <f aca="false">IF(M147-N147&lt;0.005,0,M147-N147)</f>
        <v>0</v>
      </c>
      <c r="P147" s="27" t="n">
        <f aca="false">MAX(0,IF(N(O146)&lt;=0.005,L147,L147+N('Min gæld'!$E$7)-N147))</f>
        <v>4800</v>
      </c>
      <c r="Q147" s="27" t="n">
        <f aca="false">IF(N(S146)&lt;=0.005,0,N(S146)*(1+N('Min gæld'!$D$8)/12))</f>
        <v>0</v>
      </c>
      <c r="R147" s="27" t="n">
        <f aca="false">IF(Q147&lt;=0,0,MIN(Q147,N('Min gæld'!$E$8)+P147))</f>
        <v>0</v>
      </c>
      <c r="S147" s="27" t="n">
        <f aca="false">IF(Q147-R147&lt;0.005,0,Q147-R147)</f>
        <v>0</v>
      </c>
      <c r="T147" s="27" t="n">
        <f aca="false">MAX(0,IF(N(S146)&lt;=0.005,P147,P147+N('Min gæld'!$E$8)-R147))</f>
        <v>4800</v>
      </c>
      <c r="U147" s="27" t="n">
        <f aca="false">IF(N(W146)&lt;=0.005,0,N(W146)*(1+N('Min gæld'!$D$9)/12))</f>
        <v>0</v>
      </c>
      <c r="V147" s="27" t="n">
        <f aca="false">IF(U147&lt;=0,0,MIN(U147,N('Min gæld'!$E$9)+T147))</f>
        <v>0</v>
      </c>
      <c r="W147" s="27" t="n">
        <f aca="false">IF(U147-V147&lt;0.005,0,U147-V147)</f>
        <v>0</v>
      </c>
      <c r="X147" s="27" t="n">
        <f aca="false">MAX(0,IF(N(W146)&lt;=0.005,T147,T147+N('Min gæld'!$E$9)-V147))</f>
        <v>4800</v>
      </c>
      <c r="Y147" s="27" t="n">
        <f aca="false">IF(N(AA146)&lt;=0.005,0,N(AA146)*(1+N('Min gæld'!$D$10)/12))</f>
        <v>0</v>
      </c>
      <c r="Z147" s="27" t="n">
        <f aca="false">IF(Y147&lt;=0,0,MIN(Y147,N('Min gæld'!$E$10)+X147))</f>
        <v>0</v>
      </c>
      <c r="AA147" s="27" t="n">
        <f aca="false">IF(Y147-Z147&lt;0.005,0,Y147-Z147)</f>
        <v>0</v>
      </c>
      <c r="AB147" s="27" t="n">
        <f aca="false">MAX(0,IF(N(AA146)&lt;=0.005,X147,X147+N('Min gæld'!$E$10)-Z147))</f>
        <v>4800</v>
      </c>
      <c r="AC147" s="27" t="n">
        <f aca="false">IF(N(AE146)&lt;=0.005,0,N(AE146)*(1+N('Min gæld'!$D$11)/12))</f>
        <v>0</v>
      </c>
      <c r="AD147" s="27" t="n">
        <f aca="false">IF(AC147&lt;=0,0,MIN(AC147,N('Min gæld'!$E$11)+AB147))</f>
        <v>0</v>
      </c>
      <c r="AE147" s="27" t="n">
        <f aca="false">IF(AC147-AD147&lt;0.005,0,AC147-AD147)</f>
        <v>0</v>
      </c>
      <c r="AF147" s="27" t="n">
        <f aca="false">MAX(0,IF(N(AE146)&lt;=0.005,AB147,AB147+N('Min gæld'!$E$11)-AD147))</f>
        <v>4800</v>
      </c>
      <c r="AG147" s="27" t="n">
        <f aca="false">IF(N(AI146)&lt;=0.005,0,N(AI146)*(1+N('Min gæld'!$D$12)/12))</f>
        <v>0</v>
      </c>
      <c r="AH147" s="27" t="n">
        <f aca="false">IF(AG147&lt;=0,0,MIN(AG147,N('Min gæld'!$E$12)+AF147))</f>
        <v>0</v>
      </c>
      <c r="AI147" s="27" t="n">
        <f aca="false">IF(AG147-AH147&lt;0.005,0,AG147-AH147)</f>
        <v>0</v>
      </c>
      <c r="AJ147" s="27" t="n">
        <f aca="false">G147+K147+O147+S147+W147+AA147+AE147+AI147</f>
        <v>0</v>
      </c>
      <c r="AK147" s="28" t="n">
        <f aca="false">IF(E147&gt;0,E147-N(G146),0)+IF(I147&gt;0,I147-N(K146),0)+IF(M147&gt;0,M147-N(O146),0)+IF(Q147&gt;0,Q147-N(S146),0)+IF(U147&gt;0,U147-N(W146),0)+IF(Y147&gt;0,Y147-N(AA146),0)+IF(AC147&gt;0,AC147-N(AE146),0)+IF(AG147&gt;0,AG147-N(AI146),0)</f>
        <v>0</v>
      </c>
    </row>
    <row r="148" customFormat="false" ht="15" hidden="false" customHeight="false" outlineLevel="0" collapsed="false">
      <c r="A148" s="25" t="n">
        <v>143</v>
      </c>
      <c r="B148" s="26" t="n">
        <f aca="false">EDATE('Min gæld'!$C$16,142)</f>
        <v>50710</v>
      </c>
      <c r="C148" s="27" t="n">
        <f aca="false">N('Min gæld'!$C$15)+IF(N(G147)&lt;=0.005,N('Min gæld'!$E$5),0)+IF(N(K147)&lt;=0.005,N('Min gæld'!$E$6),0)+IF(N(O147)&lt;=0.005,N('Min gæld'!$E$7),0)+IF(N(S147)&lt;=0.005,N('Min gæld'!$E$8),0)+IF(N(W147)&lt;=0.005,N('Min gæld'!$E$9),0)+IF(N(AA147)&lt;=0.005,N('Min gæld'!$E$10),0)+IF(N(AE147)&lt;=0.005,N('Min gæld'!$E$11),0)+IF(N(AI147)&lt;=0.005,N('Min gæld'!$E$12),0)</f>
        <v>4800</v>
      </c>
      <c r="D148" s="27" t="n">
        <f aca="false">MAX(0,C148)</f>
        <v>4800</v>
      </c>
      <c r="E148" s="27" t="n">
        <f aca="false">IF(N(G147)&lt;=0.005,0,N(G147)*(1+N('Min gæld'!$D$5)/12))</f>
        <v>0</v>
      </c>
      <c r="F148" s="27" t="n">
        <f aca="false">IF(E148&lt;=0,0,MIN(E148,N('Min gæld'!$E$5)+D148))</f>
        <v>0</v>
      </c>
      <c r="G148" s="27" t="n">
        <f aca="false">IF(E148-F148&lt;0.005,0,E148-F148)</f>
        <v>0</v>
      </c>
      <c r="H148" s="27" t="n">
        <f aca="false">MAX(0,IF(N(G147)&lt;=0.005,D148,D148+N('Min gæld'!$E$5)-F148))</f>
        <v>4800</v>
      </c>
      <c r="I148" s="27" t="n">
        <f aca="false">IF(N(K147)&lt;=0.005,0,N(K147)*(1+N('Min gæld'!$D$6)/12))</f>
        <v>0</v>
      </c>
      <c r="J148" s="27" t="n">
        <f aca="false">IF(I148&lt;=0,0,MIN(I148,N('Min gæld'!$E$6)+H148))</f>
        <v>0</v>
      </c>
      <c r="K148" s="27" t="n">
        <f aca="false">IF(I148-J148&lt;0.005,0,I148-J148)</f>
        <v>0</v>
      </c>
      <c r="L148" s="27" t="n">
        <f aca="false">MAX(0,IF(N(K147)&lt;=0.005,H148,H148+N('Min gæld'!$E$6)-J148))</f>
        <v>4800</v>
      </c>
      <c r="M148" s="27" t="n">
        <f aca="false">IF(N(O147)&lt;=0.005,0,N(O147)*(1+N('Min gæld'!$D$7)/12))</f>
        <v>0</v>
      </c>
      <c r="N148" s="27" t="n">
        <f aca="false">IF(M148&lt;=0,0,MIN(M148,N('Min gæld'!$E$7)+L148))</f>
        <v>0</v>
      </c>
      <c r="O148" s="27" t="n">
        <f aca="false">IF(M148-N148&lt;0.005,0,M148-N148)</f>
        <v>0</v>
      </c>
      <c r="P148" s="27" t="n">
        <f aca="false">MAX(0,IF(N(O147)&lt;=0.005,L148,L148+N('Min gæld'!$E$7)-N148))</f>
        <v>4800</v>
      </c>
      <c r="Q148" s="27" t="n">
        <f aca="false">IF(N(S147)&lt;=0.005,0,N(S147)*(1+N('Min gæld'!$D$8)/12))</f>
        <v>0</v>
      </c>
      <c r="R148" s="27" t="n">
        <f aca="false">IF(Q148&lt;=0,0,MIN(Q148,N('Min gæld'!$E$8)+P148))</f>
        <v>0</v>
      </c>
      <c r="S148" s="27" t="n">
        <f aca="false">IF(Q148-R148&lt;0.005,0,Q148-R148)</f>
        <v>0</v>
      </c>
      <c r="T148" s="27" t="n">
        <f aca="false">MAX(0,IF(N(S147)&lt;=0.005,P148,P148+N('Min gæld'!$E$8)-R148))</f>
        <v>4800</v>
      </c>
      <c r="U148" s="27" t="n">
        <f aca="false">IF(N(W147)&lt;=0.005,0,N(W147)*(1+N('Min gæld'!$D$9)/12))</f>
        <v>0</v>
      </c>
      <c r="V148" s="27" t="n">
        <f aca="false">IF(U148&lt;=0,0,MIN(U148,N('Min gæld'!$E$9)+T148))</f>
        <v>0</v>
      </c>
      <c r="W148" s="27" t="n">
        <f aca="false">IF(U148-V148&lt;0.005,0,U148-V148)</f>
        <v>0</v>
      </c>
      <c r="X148" s="27" t="n">
        <f aca="false">MAX(0,IF(N(W147)&lt;=0.005,T148,T148+N('Min gæld'!$E$9)-V148))</f>
        <v>4800</v>
      </c>
      <c r="Y148" s="27" t="n">
        <f aca="false">IF(N(AA147)&lt;=0.005,0,N(AA147)*(1+N('Min gæld'!$D$10)/12))</f>
        <v>0</v>
      </c>
      <c r="Z148" s="27" t="n">
        <f aca="false">IF(Y148&lt;=0,0,MIN(Y148,N('Min gæld'!$E$10)+X148))</f>
        <v>0</v>
      </c>
      <c r="AA148" s="27" t="n">
        <f aca="false">IF(Y148-Z148&lt;0.005,0,Y148-Z148)</f>
        <v>0</v>
      </c>
      <c r="AB148" s="27" t="n">
        <f aca="false">MAX(0,IF(N(AA147)&lt;=0.005,X148,X148+N('Min gæld'!$E$10)-Z148))</f>
        <v>4800</v>
      </c>
      <c r="AC148" s="27" t="n">
        <f aca="false">IF(N(AE147)&lt;=0.005,0,N(AE147)*(1+N('Min gæld'!$D$11)/12))</f>
        <v>0</v>
      </c>
      <c r="AD148" s="27" t="n">
        <f aca="false">IF(AC148&lt;=0,0,MIN(AC148,N('Min gæld'!$E$11)+AB148))</f>
        <v>0</v>
      </c>
      <c r="AE148" s="27" t="n">
        <f aca="false">IF(AC148-AD148&lt;0.005,0,AC148-AD148)</f>
        <v>0</v>
      </c>
      <c r="AF148" s="27" t="n">
        <f aca="false">MAX(0,IF(N(AE147)&lt;=0.005,AB148,AB148+N('Min gæld'!$E$11)-AD148))</f>
        <v>4800</v>
      </c>
      <c r="AG148" s="27" t="n">
        <f aca="false">IF(N(AI147)&lt;=0.005,0,N(AI147)*(1+N('Min gæld'!$D$12)/12))</f>
        <v>0</v>
      </c>
      <c r="AH148" s="27" t="n">
        <f aca="false">IF(AG148&lt;=0,0,MIN(AG148,N('Min gæld'!$E$12)+AF148))</f>
        <v>0</v>
      </c>
      <c r="AI148" s="27" t="n">
        <f aca="false">IF(AG148-AH148&lt;0.005,0,AG148-AH148)</f>
        <v>0</v>
      </c>
      <c r="AJ148" s="27" t="n">
        <f aca="false">G148+K148+O148+S148+W148+AA148+AE148+AI148</f>
        <v>0</v>
      </c>
      <c r="AK148" s="28" t="n">
        <f aca="false">IF(E148&gt;0,E148-N(G147),0)+IF(I148&gt;0,I148-N(K147),0)+IF(M148&gt;0,M148-N(O147),0)+IF(Q148&gt;0,Q148-N(S147),0)+IF(U148&gt;0,U148-N(W147),0)+IF(Y148&gt;0,Y148-N(AA147),0)+IF(AC148&gt;0,AC148-N(AE147),0)+IF(AG148&gt;0,AG148-N(AI147),0)</f>
        <v>0</v>
      </c>
    </row>
    <row r="149" customFormat="false" ht="15" hidden="false" customHeight="false" outlineLevel="0" collapsed="false">
      <c r="A149" s="25" t="n">
        <v>144</v>
      </c>
      <c r="B149" s="26" t="n">
        <f aca="false">EDATE('Min gæld'!$C$16,143)</f>
        <v>50740</v>
      </c>
      <c r="C149" s="27" t="n">
        <f aca="false">N('Min gæld'!$C$15)+IF(N(G148)&lt;=0.005,N('Min gæld'!$E$5),0)+IF(N(K148)&lt;=0.005,N('Min gæld'!$E$6),0)+IF(N(O148)&lt;=0.005,N('Min gæld'!$E$7),0)+IF(N(S148)&lt;=0.005,N('Min gæld'!$E$8),0)+IF(N(W148)&lt;=0.005,N('Min gæld'!$E$9),0)+IF(N(AA148)&lt;=0.005,N('Min gæld'!$E$10),0)+IF(N(AE148)&lt;=0.005,N('Min gæld'!$E$11),0)+IF(N(AI148)&lt;=0.005,N('Min gæld'!$E$12),0)</f>
        <v>4800</v>
      </c>
      <c r="D149" s="27" t="n">
        <f aca="false">MAX(0,C149)</f>
        <v>4800</v>
      </c>
      <c r="E149" s="27" t="n">
        <f aca="false">IF(N(G148)&lt;=0.005,0,N(G148)*(1+N('Min gæld'!$D$5)/12))</f>
        <v>0</v>
      </c>
      <c r="F149" s="27" t="n">
        <f aca="false">IF(E149&lt;=0,0,MIN(E149,N('Min gæld'!$E$5)+D149))</f>
        <v>0</v>
      </c>
      <c r="G149" s="27" t="n">
        <f aca="false">IF(E149-F149&lt;0.005,0,E149-F149)</f>
        <v>0</v>
      </c>
      <c r="H149" s="27" t="n">
        <f aca="false">MAX(0,IF(N(G148)&lt;=0.005,D149,D149+N('Min gæld'!$E$5)-F149))</f>
        <v>4800</v>
      </c>
      <c r="I149" s="27" t="n">
        <f aca="false">IF(N(K148)&lt;=0.005,0,N(K148)*(1+N('Min gæld'!$D$6)/12))</f>
        <v>0</v>
      </c>
      <c r="J149" s="27" t="n">
        <f aca="false">IF(I149&lt;=0,0,MIN(I149,N('Min gæld'!$E$6)+H149))</f>
        <v>0</v>
      </c>
      <c r="K149" s="27" t="n">
        <f aca="false">IF(I149-J149&lt;0.005,0,I149-J149)</f>
        <v>0</v>
      </c>
      <c r="L149" s="27" t="n">
        <f aca="false">MAX(0,IF(N(K148)&lt;=0.005,H149,H149+N('Min gæld'!$E$6)-J149))</f>
        <v>4800</v>
      </c>
      <c r="M149" s="27" t="n">
        <f aca="false">IF(N(O148)&lt;=0.005,0,N(O148)*(1+N('Min gæld'!$D$7)/12))</f>
        <v>0</v>
      </c>
      <c r="N149" s="27" t="n">
        <f aca="false">IF(M149&lt;=0,0,MIN(M149,N('Min gæld'!$E$7)+L149))</f>
        <v>0</v>
      </c>
      <c r="O149" s="27" t="n">
        <f aca="false">IF(M149-N149&lt;0.005,0,M149-N149)</f>
        <v>0</v>
      </c>
      <c r="P149" s="27" t="n">
        <f aca="false">MAX(0,IF(N(O148)&lt;=0.005,L149,L149+N('Min gæld'!$E$7)-N149))</f>
        <v>4800</v>
      </c>
      <c r="Q149" s="27" t="n">
        <f aca="false">IF(N(S148)&lt;=0.005,0,N(S148)*(1+N('Min gæld'!$D$8)/12))</f>
        <v>0</v>
      </c>
      <c r="R149" s="27" t="n">
        <f aca="false">IF(Q149&lt;=0,0,MIN(Q149,N('Min gæld'!$E$8)+P149))</f>
        <v>0</v>
      </c>
      <c r="S149" s="27" t="n">
        <f aca="false">IF(Q149-R149&lt;0.005,0,Q149-R149)</f>
        <v>0</v>
      </c>
      <c r="T149" s="27" t="n">
        <f aca="false">MAX(0,IF(N(S148)&lt;=0.005,P149,P149+N('Min gæld'!$E$8)-R149))</f>
        <v>4800</v>
      </c>
      <c r="U149" s="27" t="n">
        <f aca="false">IF(N(W148)&lt;=0.005,0,N(W148)*(1+N('Min gæld'!$D$9)/12))</f>
        <v>0</v>
      </c>
      <c r="V149" s="27" t="n">
        <f aca="false">IF(U149&lt;=0,0,MIN(U149,N('Min gæld'!$E$9)+T149))</f>
        <v>0</v>
      </c>
      <c r="W149" s="27" t="n">
        <f aca="false">IF(U149-V149&lt;0.005,0,U149-V149)</f>
        <v>0</v>
      </c>
      <c r="X149" s="27" t="n">
        <f aca="false">MAX(0,IF(N(W148)&lt;=0.005,T149,T149+N('Min gæld'!$E$9)-V149))</f>
        <v>4800</v>
      </c>
      <c r="Y149" s="27" t="n">
        <f aca="false">IF(N(AA148)&lt;=0.005,0,N(AA148)*(1+N('Min gæld'!$D$10)/12))</f>
        <v>0</v>
      </c>
      <c r="Z149" s="27" t="n">
        <f aca="false">IF(Y149&lt;=0,0,MIN(Y149,N('Min gæld'!$E$10)+X149))</f>
        <v>0</v>
      </c>
      <c r="AA149" s="27" t="n">
        <f aca="false">IF(Y149-Z149&lt;0.005,0,Y149-Z149)</f>
        <v>0</v>
      </c>
      <c r="AB149" s="27" t="n">
        <f aca="false">MAX(0,IF(N(AA148)&lt;=0.005,X149,X149+N('Min gæld'!$E$10)-Z149))</f>
        <v>4800</v>
      </c>
      <c r="AC149" s="27" t="n">
        <f aca="false">IF(N(AE148)&lt;=0.005,0,N(AE148)*(1+N('Min gæld'!$D$11)/12))</f>
        <v>0</v>
      </c>
      <c r="AD149" s="27" t="n">
        <f aca="false">IF(AC149&lt;=0,0,MIN(AC149,N('Min gæld'!$E$11)+AB149))</f>
        <v>0</v>
      </c>
      <c r="AE149" s="27" t="n">
        <f aca="false">IF(AC149-AD149&lt;0.005,0,AC149-AD149)</f>
        <v>0</v>
      </c>
      <c r="AF149" s="27" t="n">
        <f aca="false">MAX(0,IF(N(AE148)&lt;=0.005,AB149,AB149+N('Min gæld'!$E$11)-AD149))</f>
        <v>4800</v>
      </c>
      <c r="AG149" s="27" t="n">
        <f aca="false">IF(N(AI148)&lt;=0.005,0,N(AI148)*(1+N('Min gæld'!$D$12)/12))</f>
        <v>0</v>
      </c>
      <c r="AH149" s="27" t="n">
        <f aca="false">IF(AG149&lt;=0,0,MIN(AG149,N('Min gæld'!$E$12)+AF149))</f>
        <v>0</v>
      </c>
      <c r="AI149" s="27" t="n">
        <f aca="false">IF(AG149-AH149&lt;0.005,0,AG149-AH149)</f>
        <v>0</v>
      </c>
      <c r="AJ149" s="27" t="n">
        <f aca="false">G149+K149+O149+S149+W149+AA149+AE149+AI149</f>
        <v>0</v>
      </c>
      <c r="AK149" s="28" t="n">
        <f aca="false">IF(E149&gt;0,E149-N(G148),0)+IF(I149&gt;0,I149-N(K148),0)+IF(M149&gt;0,M149-N(O148),0)+IF(Q149&gt;0,Q149-N(S148),0)+IF(U149&gt;0,U149-N(W148),0)+IF(Y149&gt;0,Y149-N(AA148),0)+IF(AC149&gt;0,AC149-N(AE148),0)+IF(AG149&gt;0,AG149-N(AI148),0)</f>
        <v>0</v>
      </c>
    </row>
    <row r="150" customFormat="false" ht="15" hidden="false" customHeight="false" outlineLevel="0" collapsed="false">
      <c r="A150" s="25" t="n">
        <v>145</v>
      </c>
      <c r="B150" s="26" t="n">
        <f aca="false">EDATE('Min gæld'!$C$16,144)</f>
        <v>50771</v>
      </c>
      <c r="C150" s="27" t="n">
        <f aca="false">N('Min gæld'!$C$15)+IF(N(G149)&lt;=0.005,N('Min gæld'!$E$5),0)+IF(N(K149)&lt;=0.005,N('Min gæld'!$E$6),0)+IF(N(O149)&lt;=0.005,N('Min gæld'!$E$7),0)+IF(N(S149)&lt;=0.005,N('Min gæld'!$E$8),0)+IF(N(W149)&lt;=0.005,N('Min gæld'!$E$9),0)+IF(N(AA149)&lt;=0.005,N('Min gæld'!$E$10),0)+IF(N(AE149)&lt;=0.005,N('Min gæld'!$E$11),0)+IF(N(AI149)&lt;=0.005,N('Min gæld'!$E$12),0)</f>
        <v>4800</v>
      </c>
      <c r="D150" s="27" t="n">
        <f aca="false">MAX(0,C150)</f>
        <v>4800</v>
      </c>
      <c r="E150" s="27" t="n">
        <f aca="false">IF(N(G149)&lt;=0.005,0,N(G149)*(1+N('Min gæld'!$D$5)/12))</f>
        <v>0</v>
      </c>
      <c r="F150" s="27" t="n">
        <f aca="false">IF(E150&lt;=0,0,MIN(E150,N('Min gæld'!$E$5)+D150))</f>
        <v>0</v>
      </c>
      <c r="G150" s="27" t="n">
        <f aca="false">IF(E150-F150&lt;0.005,0,E150-F150)</f>
        <v>0</v>
      </c>
      <c r="H150" s="27" t="n">
        <f aca="false">MAX(0,IF(N(G149)&lt;=0.005,D150,D150+N('Min gæld'!$E$5)-F150))</f>
        <v>4800</v>
      </c>
      <c r="I150" s="27" t="n">
        <f aca="false">IF(N(K149)&lt;=0.005,0,N(K149)*(1+N('Min gæld'!$D$6)/12))</f>
        <v>0</v>
      </c>
      <c r="J150" s="27" t="n">
        <f aca="false">IF(I150&lt;=0,0,MIN(I150,N('Min gæld'!$E$6)+H150))</f>
        <v>0</v>
      </c>
      <c r="K150" s="27" t="n">
        <f aca="false">IF(I150-J150&lt;0.005,0,I150-J150)</f>
        <v>0</v>
      </c>
      <c r="L150" s="27" t="n">
        <f aca="false">MAX(0,IF(N(K149)&lt;=0.005,H150,H150+N('Min gæld'!$E$6)-J150))</f>
        <v>4800</v>
      </c>
      <c r="M150" s="27" t="n">
        <f aca="false">IF(N(O149)&lt;=0.005,0,N(O149)*(1+N('Min gæld'!$D$7)/12))</f>
        <v>0</v>
      </c>
      <c r="N150" s="27" t="n">
        <f aca="false">IF(M150&lt;=0,0,MIN(M150,N('Min gæld'!$E$7)+L150))</f>
        <v>0</v>
      </c>
      <c r="O150" s="27" t="n">
        <f aca="false">IF(M150-N150&lt;0.005,0,M150-N150)</f>
        <v>0</v>
      </c>
      <c r="P150" s="27" t="n">
        <f aca="false">MAX(0,IF(N(O149)&lt;=0.005,L150,L150+N('Min gæld'!$E$7)-N150))</f>
        <v>4800</v>
      </c>
      <c r="Q150" s="27" t="n">
        <f aca="false">IF(N(S149)&lt;=0.005,0,N(S149)*(1+N('Min gæld'!$D$8)/12))</f>
        <v>0</v>
      </c>
      <c r="R150" s="27" t="n">
        <f aca="false">IF(Q150&lt;=0,0,MIN(Q150,N('Min gæld'!$E$8)+P150))</f>
        <v>0</v>
      </c>
      <c r="S150" s="27" t="n">
        <f aca="false">IF(Q150-R150&lt;0.005,0,Q150-R150)</f>
        <v>0</v>
      </c>
      <c r="T150" s="27" t="n">
        <f aca="false">MAX(0,IF(N(S149)&lt;=0.005,P150,P150+N('Min gæld'!$E$8)-R150))</f>
        <v>4800</v>
      </c>
      <c r="U150" s="27" t="n">
        <f aca="false">IF(N(W149)&lt;=0.005,0,N(W149)*(1+N('Min gæld'!$D$9)/12))</f>
        <v>0</v>
      </c>
      <c r="V150" s="27" t="n">
        <f aca="false">IF(U150&lt;=0,0,MIN(U150,N('Min gæld'!$E$9)+T150))</f>
        <v>0</v>
      </c>
      <c r="W150" s="27" t="n">
        <f aca="false">IF(U150-V150&lt;0.005,0,U150-V150)</f>
        <v>0</v>
      </c>
      <c r="X150" s="27" t="n">
        <f aca="false">MAX(0,IF(N(W149)&lt;=0.005,T150,T150+N('Min gæld'!$E$9)-V150))</f>
        <v>4800</v>
      </c>
      <c r="Y150" s="27" t="n">
        <f aca="false">IF(N(AA149)&lt;=0.005,0,N(AA149)*(1+N('Min gæld'!$D$10)/12))</f>
        <v>0</v>
      </c>
      <c r="Z150" s="27" t="n">
        <f aca="false">IF(Y150&lt;=0,0,MIN(Y150,N('Min gæld'!$E$10)+X150))</f>
        <v>0</v>
      </c>
      <c r="AA150" s="27" t="n">
        <f aca="false">IF(Y150-Z150&lt;0.005,0,Y150-Z150)</f>
        <v>0</v>
      </c>
      <c r="AB150" s="27" t="n">
        <f aca="false">MAX(0,IF(N(AA149)&lt;=0.005,X150,X150+N('Min gæld'!$E$10)-Z150))</f>
        <v>4800</v>
      </c>
      <c r="AC150" s="27" t="n">
        <f aca="false">IF(N(AE149)&lt;=0.005,0,N(AE149)*(1+N('Min gæld'!$D$11)/12))</f>
        <v>0</v>
      </c>
      <c r="AD150" s="27" t="n">
        <f aca="false">IF(AC150&lt;=0,0,MIN(AC150,N('Min gæld'!$E$11)+AB150))</f>
        <v>0</v>
      </c>
      <c r="AE150" s="27" t="n">
        <f aca="false">IF(AC150-AD150&lt;0.005,0,AC150-AD150)</f>
        <v>0</v>
      </c>
      <c r="AF150" s="27" t="n">
        <f aca="false">MAX(0,IF(N(AE149)&lt;=0.005,AB150,AB150+N('Min gæld'!$E$11)-AD150))</f>
        <v>4800</v>
      </c>
      <c r="AG150" s="27" t="n">
        <f aca="false">IF(N(AI149)&lt;=0.005,0,N(AI149)*(1+N('Min gæld'!$D$12)/12))</f>
        <v>0</v>
      </c>
      <c r="AH150" s="27" t="n">
        <f aca="false">IF(AG150&lt;=0,0,MIN(AG150,N('Min gæld'!$E$12)+AF150))</f>
        <v>0</v>
      </c>
      <c r="AI150" s="27" t="n">
        <f aca="false">IF(AG150-AH150&lt;0.005,0,AG150-AH150)</f>
        <v>0</v>
      </c>
      <c r="AJ150" s="27" t="n">
        <f aca="false">G150+K150+O150+S150+W150+AA150+AE150+AI150</f>
        <v>0</v>
      </c>
      <c r="AK150" s="28" t="n">
        <f aca="false">IF(E150&gt;0,E150-N(G149),0)+IF(I150&gt;0,I150-N(K149),0)+IF(M150&gt;0,M150-N(O149),0)+IF(Q150&gt;0,Q150-N(S149),0)+IF(U150&gt;0,U150-N(W149),0)+IF(Y150&gt;0,Y150-N(AA149),0)+IF(AC150&gt;0,AC150-N(AE149),0)+IF(AG150&gt;0,AG150-N(AI149),0)</f>
        <v>0</v>
      </c>
    </row>
    <row r="151" customFormat="false" ht="15" hidden="false" customHeight="false" outlineLevel="0" collapsed="false">
      <c r="A151" s="25" t="n">
        <v>146</v>
      </c>
      <c r="B151" s="26" t="n">
        <f aca="false">EDATE('Min gæld'!$C$16,145)</f>
        <v>50802</v>
      </c>
      <c r="C151" s="27" t="n">
        <f aca="false">N('Min gæld'!$C$15)+IF(N(G150)&lt;=0.005,N('Min gæld'!$E$5),0)+IF(N(K150)&lt;=0.005,N('Min gæld'!$E$6),0)+IF(N(O150)&lt;=0.005,N('Min gæld'!$E$7),0)+IF(N(S150)&lt;=0.005,N('Min gæld'!$E$8),0)+IF(N(W150)&lt;=0.005,N('Min gæld'!$E$9),0)+IF(N(AA150)&lt;=0.005,N('Min gæld'!$E$10),0)+IF(N(AE150)&lt;=0.005,N('Min gæld'!$E$11),0)+IF(N(AI150)&lt;=0.005,N('Min gæld'!$E$12),0)</f>
        <v>4800</v>
      </c>
      <c r="D151" s="27" t="n">
        <f aca="false">MAX(0,C151)</f>
        <v>4800</v>
      </c>
      <c r="E151" s="27" t="n">
        <f aca="false">IF(N(G150)&lt;=0.005,0,N(G150)*(1+N('Min gæld'!$D$5)/12))</f>
        <v>0</v>
      </c>
      <c r="F151" s="27" t="n">
        <f aca="false">IF(E151&lt;=0,0,MIN(E151,N('Min gæld'!$E$5)+D151))</f>
        <v>0</v>
      </c>
      <c r="G151" s="27" t="n">
        <f aca="false">IF(E151-F151&lt;0.005,0,E151-F151)</f>
        <v>0</v>
      </c>
      <c r="H151" s="27" t="n">
        <f aca="false">MAX(0,IF(N(G150)&lt;=0.005,D151,D151+N('Min gæld'!$E$5)-F151))</f>
        <v>4800</v>
      </c>
      <c r="I151" s="27" t="n">
        <f aca="false">IF(N(K150)&lt;=0.005,0,N(K150)*(1+N('Min gæld'!$D$6)/12))</f>
        <v>0</v>
      </c>
      <c r="J151" s="27" t="n">
        <f aca="false">IF(I151&lt;=0,0,MIN(I151,N('Min gæld'!$E$6)+H151))</f>
        <v>0</v>
      </c>
      <c r="K151" s="27" t="n">
        <f aca="false">IF(I151-J151&lt;0.005,0,I151-J151)</f>
        <v>0</v>
      </c>
      <c r="L151" s="27" t="n">
        <f aca="false">MAX(0,IF(N(K150)&lt;=0.005,H151,H151+N('Min gæld'!$E$6)-J151))</f>
        <v>4800</v>
      </c>
      <c r="M151" s="27" t="n">
        <f aca="false">IF(N(O150)&lt;=0.005,0,N(O150)*(1+N('Min gæld'!$D$7)/12))</f>
        <v>0</v>
      </c>
      <c r="N151" s="27" t="n">
        <f aca="false">IF(M151&lt;=0,0,MIN(M151,N('Min gæld'!$E$7)+L151))</f>
        <v>0</v>
      </c>
      <c r="O151" s="27" t="n">
        <f aca="false">IF(M151-N151&lt;0.005,0,M151-N151)</f>
        <v>0</v>
      </c>
      <c r="P151" s="27" t="n">
        <f aca="false">MAX(0,IF(N(O150)&lt;=0.005,L151,L151+N('Min gæld'!$E$7)-N151))</f>
        <v>4800</v>
      </c>
      <c r="Q151" s="27" t="n">
        <f aca="false">IF(N(S150)&lt;=0.005,0,N(S150)*(1+N('Min gæld'!$D$8)/12))</f>
        <v>0</v>
      </c>
      <c r="R151" s="27" t="n">
        <f aca="false">IF(Q151&lt;=0,0,MIN(Q151,N('Min gæld'!$E$8)+P151))</f>
        <v>0</v>
      </c>
      <c r="S151" s="27" t="n">
        <f aca="false">IF(Q151-R151&lt;0.005,0,Q151-R151)</f>
        <v>0</v>
      </c>
      <c r="T151" s="27" t="n">
        <f aca="false">MAX(0,IF(N(S150)&lt;=0.005,P151,P151+N('Min gæld'!$E$8)-R151))</f>
        <v>4800</v>
      </c>
      <c r="U151" s="27" t="n">
        <f aca="false">IF(N(W150)&lt;=0.005,0,N(W150)*(1+N('Min gæld'!$D$9)/12))</f>
        <v>0</v>
      </c>
      <c r="V151" s="27" t="n">
        <f aca="false">IF(U151&lt;=0,0,MIN(U151,N('Min gæld'!$E$9)+T151))</f>
        <v>0</v>
      </c>
      <c r="W151" s="27" t="n">
        <f aca="false">IF(U151-V151&lt;0.005,0,U151-V151)</f>
        <v>0</v>
      </c>
      <c r="X151" s="27" t="n">
        <f aca="false">MAX(0,IF(N(W150)&lt;=0.005,T151,T151+N('Min gæld'!$E$9)-V151))</f>
        <v>4800</v>
      </c>
      <c r="Y151" s="27" t="n">
        <f aca="false">IF(N(AA150)&lt;=0.005,0,N(AA150)*(1+N('Min gæld'!$D$10)/12))</f>
        <v>0</v>
      </c>
      <c r="Z151" s="27" t="n">
        <f aca="false">IF(Y151&lt;=0,0,MIN(Y151,N('Min gæld'!$E$10)+X151))</f>
        <v>0</v>
      </c>
      <c r="AA151" s="27" t="n">
        <f aca="false">IF(Y151-Z151&lt;0.005,0,Y151-Z151)</f>
        <v>0</v>
      </c>
      <c r="AB151" s="27" t="n">
        <f aca="false">MAX(0,IF(N(AA150)&lt;=0.005,X151,X151+N('Min gæld'!$E$10)-Z151))</f>
        <v>4800</v>
      </c>
      <c r="AC151" s="27" t="n">
        <f aca="false">IF(N(AE150)&lt;=0.005,0,N(AE150)*(1+N('Min gæld'!$D$11)/12))</f>
        <v>0</v>
      </c>
      <c r="AD151" s="27" t="n">
        <f aca="false">IF(AC151&lt;=0,0,MIN(AC151,N('Min gæld'!$E$11)+AB151))</f>
        <v>0</v>
      </c>
      <c r="AE151" s="27" t="n">
        <f aca="false">IF(AC151-AD151&lt;0.005,0,AC151-AD151)</f>
        <v>0</v>
      </c>
      <c r="AF151" s="27" t="n">
        <f aca="false">MAX(0,IF(N(AE150)&lt;=0.005,AB151,AB151+N('Min gæld'!$E$11)-AD151))</f>
        <v>4800</v>
      </c>
      <c r="AG151" s="27" t="n">
        <f aca="false">IF(N(AI150)&lt;=0.005,0,N(AI150)*(1+N('Min gæld'!$D$12)/12))</f>
        <v>0</v>
      </c>
      <c r="AH151" s="27" t="n">
        <f aca="false">IF(AG151&lt;=0,0,MIN(AG151,N('Min gæld'!$E$12)+AF151))</f>
        <v>0</v>
      </c>
      <c r="AI151" s="27" t="n">
        <f aca="false">IF(AG151-AH151&lt;0.005,0,AG151-AH151)</f>
        <v>0</v>
      </c>
      <c r="AJ151" s="27" t="n">
        <f aca="false">G151+K151+O151+S151+W151+AA151+AE151+AI151</f>
        <v>0</v>
      </c>
      <c r="AK151" s="28" t="n">
        <f aca="false">IF(E151&gt;0,E151-N(G150),0)+IF(I151&gt;0,I151-N(K150),0)+IF(M151&gt;0,M151-N(O150),0)+IF(Q151&gt;0,Q151-N(S150),0)+IF(U151&gt;0,U151-N(W150),0)+IF(Y151&gt;0,Y151-N(AA150),0)+IF(AC151&gt;0,AC151-N(AE150),0)+IF(AG151&gt;0,AG151-N(AI150),0)</f>
        <v>0</v>
      </c>
    </row>
    <row r="152" customFormat="false" ht="15" hidden="false" customHeight="false" outlineLevel="0" collapsed="false">
      <c r="A152" s="25" t="n">
        <v>147</v>
      </c>
      <c r="B152" s="26" t="n">
        <f aca="false">EDATE('Min gæld'!$C$16,146)</f>
        <v>50830</v>
      </c>
      <c r="C152" s="27" t="n">
        <f aca="false">N('Min gæld'!$C$15)+IF(N(G151)&lt;=0.005,N('Min gæld'!$E$5),0)+IF(N(K151)&lt;=0.005,N('Min gæld'!$E$6),0)+IF(N(O151)&lt;=0.005,N('Min gæld'!$E$7),0)+IF(N(S151)&lt;=0.005,N('Min gæld'!$E$8),0)+IF(N(W151)&lt;=0.005,N('Min gæld'!$E$9),0)+IF(N(AA151)&lt;=0.005,N('Min gæld'!$E$10),0)+IF(N(AE151)&lt;=0.005,N('Min gæld'!$E$11),0)+IF(N(AI151)&lt;=0.005,N('Min gæld'!$E$12),0)</f>
        <v>4800</v>
      </c>
      <c r="D152" s="27" t="n">
        <f aca="false">MAX(0,C152)</f>
        <v>4800</v>
      </c>
      <c r="E152" s="27" t="n">
        <f aca="false">IF(N(G151)&lt;=0.005,0,N(G151)*(1+N('Min gæld'!$D$5)/12))</f>
        <v>0</v>
      </c>
      <c r="F152" s="27" t="n">
        <f aca="false">IF(E152&lt;=0,0,MIN(E152,N('Min gæld'!$E$5)+D152))</f>
        <v>0</v>
      </c>
      <c r="G152" s="27" t="n">
        <f aca="false">IF(E152-F152&lt;0.005,0,E152-F152)</f>
        <v>0</v>
      </c>
      <c r="H152" s="27" t="n">
        <f aca="false">MAX(0,IF(N(G151)&lt;=0.005,D152,D152+N('Min gæld'!$E$5)-F152))</f>
        <v>4800</v>
      </c>
      <c r="I152" s="27" t="n">
        <f aca="false">IF(N(K151)&lt;=0.005,0,N(K151)*(1+N('Min gæld'!$D$6)/12))</f>
        <v>0</v>
      </c>
      <c r="J152" s="27" t="n">
        <f aca="false">IF(I152&lt;=0,0,MIN(I152,N('Min gæld'!$E$6)+H152))</f>
        <v>0</v>
      </c>
      <c r="K152" s="27" t="n">
        <f aca="false">IF(I152-J152&lt;0.005,0,I152-J152)</f>
        <v>0</v>
      </c>
      <c r="L152" s="27" t="n">
        <f aca="false">MAX(0,IF(N(K151)&lt;=0.005,H152,H152+N('Min gæld'!$E$6)-J152))</f>
        <v>4800</v>
      </c>
      <c r="M152" s="27" t="n">
        <f aca="false">IF(N(O151)&lt;=0.005,0,N(O151)*(1+N('Min gæld'!$D$7)/12))</f>
        <v>0</v>
      </c>
      <c r="N152" s="27" t="n">
        <f aca="false">IF(M152&lt;=0,0,MIN(M152,N('Min gæld'!$E$7)+L152))</f>
        <v>0</v>
      </c>
      <c r="O152" s="27" t="n">
        <f aca="false">IF(M152-N152&lt;0.005,0,M152-N152)</f>
        <v>0</v>
      </c>
      <c r="P152" s="27" t="n">
        <f aca="false">MAX(0,IF(N(O151)&lt;=0.005,L152,L152+N('Min gæld'!$E$7)-N152))</f>
        <v>4800</v>
      </c>
      <c r="Q152" s="27" t="n">
        <f aca="false">IF(N(S151)&lt;=0.005,0,N(S151)*(1+N('Min gæld'!$D$8)/12))</f>
        <v>0</v>
      </c>
      <c r="R152" s="27" t="n">
        <f aca="false">IF(Q152&lt;=0,0,MIN(Q152,N('Min gæld'!$E$8)+P152))</f>
        <v>0</v>
      </c>
      <c r="S152" s="27" t="n">
        <f aca="false">IF(Q152-R152&lt;0.005,0,Q152-R152)</f>
        <v>0</v>
      </c>
      <c r="T152" s="27" t="n">
        <f aca="false">MAX(0,IF(N(S151)&lt;=0.005,P152,P152+N('Min gæld'!$E$8)-R152))</f>
        <v>4800</v>
      </c>
      <c r="U152" s="27" t="n">
        <f aca="false">IF(N(W151)&lt;=0.005,0,N(W151)*(1+N('Min gæld'!$D$9)/12))</f>
        <v>0</v>
      </c>
      <c r="V152" s="27" t="n">
        <f aca="false">IF(U152&lt;=0,0,MIN(U152,N('Min gæld'!$E$9)+T152))</f>
        <v>0</v>
      </c>
      <c r="W152" s="27" t="n">
        <f aca="false">IF(U152-V152&lt;0.005,0,U152-V152)</f>
        <v>0</v>
      </c>
      <c r="X152" s="27" t="n">
        <f aca="false">MAX(0,IF(N(W151)&lt;=0.005,T152,T152+N('Min gæld'!$E$9)-V152))</f>
        <v>4800</v>
      </c>
      <c r="Y152" s="27" t="n">
        <f aca="false">IF(N(AA151)&lt;=0.005,0,N(AA151)*(1+N('Min gæld'!$D$10)/12))</f>
        <v>0</v>
      </c>
      <c r="Z152" s="27" t="n">
        <f aca="false">IF(Y152&lt;=0,0,MIN(Y152,N('Min gæld'!$E$10)+X152))</f>
        <v>0</v>
      </c>
      <c r="AA152" s="27" t="n">
        <f aca="false">IF(Y152-Z152&lt;0.005,0,Y152-Z152)</f>
        <v>0</v>
      </c>
      <c r="AB152" s="27" t="n">
        <f aca="false">MAX(0,IF(N(AA151)&lt;=0.005,X152,X152+N('Min gæld'!$E$10)-Z152))</f>
        <v>4800</v>
      </c>
      <c r="AC152" s="27" t="n">
        <f aca="false">IF(N(AE151)&lt;=0.005,0,N(AE151)*(1+N('Min gæld'!$D$11)/12))</f>
        <v>0</v>
      </c>
      <c r="AD152" s="27" t="n">
        <f aca="false">IF(AC152&lt;=0,0,MIN(AC152,N('Min gæld'!$E$11)+AB152))</f>
        <v>0</v>
      </c>
      <c r="AE152" s="27" t="n">
        <f aca="false">IF(AC152-AD152&lt;0.005,0,AC152-AD152)</f>
        <v>0</v>
      </c>
      <c r="AF152" s="27" t="n">
        <f aca="false">MAX(0,IF(N(AE151)&lt;=0.005,AB152,AB152+N('Min gæld'!$E$11)-AD152))</f>
        <v>4800</v>
      </c>
      <c r="AG152" s="27" t="n">
        <f aca="false">IF(N(AI151)&lt;=0.005,0,N(AI151)*(1+N('Min gæld'!$D$12)/12))</f>
        <v>0</v>
      </c>
      <c r="AH152" s="27" t="n">
        <f aca="false">IF(AG152&lt;=0,0,MIN(AG152,N('Min gæld'!$E$12)+AF152))</f>
        <v>0</v>
      </c>
      <c r="AI152" s="27" t="n">
        <f aca="false">IF(AG152-AH152&lt;0.005,0,AG152-AH152)</f>
        <v>0</v>
      </c>
      <c r="AJ152" s="27" t="n">
        <f aca="false">G152+K152+O152+S152+W152+AA152+AE152+AI152</f>
        <v>0</v>
      </c>
      <c r="AK152" s="28" t="n">
        <f aca="false">IF(E152&gt;0,E152-N(G151),0)+IF(I152&gt;0,I152-N(K151),0)+IF(M152&gt;0,M152-N(O151),0)+IF(Q152&gt;0,Q152-N(S151),0)+IF(U152&gt;0,U152-N(W151),0)+IF(Y152&gt;0,Y152-N(AA151),0)+IF(AC152&gt;0,AC152-N(AE151),0)+IF(AG152&gt;0,AG152-N(AI151),0)</f>
        <v>0</v>
      </c>
    </row>
    <row r="153" customFormat="false" ht="15" hidden="false" customHeight="false" outlineLevel="0" collapsed="false">
      <c r="A153" s="25" t="n">
        <v>148</v>
      </c>
      <c r="B153" s="26" t="n">
        <f aca="false">EDATE('Min gæld'!$C$16,147)</f>
        <v>50861</v>
      </c>
      <c r="C153" s="27" t="n">
        <f aca="false">N('Min gæld'!$C$15)+IF(N(G152)&lt;=0.005,N('Min gæld'!$E$5),0)+IF(N(K152)&lt;=0.005,N('Min gæld'!$E$6),0)+IF(N(O152)&lt;=0.005,N('Min gæld'!$E$7),0)+IF(N(S152)&lt;=0.005,N('Min gæld'!$E$8),0)+IF(N(W152)&lt;=0.005,N('Min gæld'!$E$9),0)+IF(N(AA152)&lt;=0.005,N('Min gæld'!$E$10),0)+IF(N(AE152)&lt;=0.005,N('Min gæld'!$E$11),0)+IF(N(AI152)&lt;=0.005,N('Min gæld'!$E$12),0)</f>
        <v>4800</v>
      </c>
      <c r="D153" s="27" t="n">
        <f aca="false">MAX(0,C153)</f>
        <v>4800</v>
      </c>
      <c r="E153" s="27" t="n">
        <f aca="false">IF(N(G152)&lt;=0.005,0,N(G152)*(1+N('Min gæld'!$D$5)/12))</f>
        <v>0</v>
      </c>
      <c r="F153" s="27" t="n">
        <f aca="false">IF(E153&lt;=0,0,MIN(E153,N('Min gæld'!$E$5)+D153))</f>
        <v>0</v>
      </c>
      <c r="G153" s="27" t="n">
        <f aca="false">IF(E153-F153&lt;0.005,0,E153-F153)</f>
        <v>0</v>
      </c>
      <c r="H153" s="27" t="n">
        <f aca="false">MAX(0,IF(N(G152)&lt;=0.005,D153,D153+N('Min gæld'!$E$5)-F153))</f>
        <v>4800</v>
      </c>
      <c r="I153" s="27" t="n">
        <f aca="false">IF(N(K152)&lt;=0.005,0,N(K152)*(1+N('Min gæld'!$D$6)/12))</f>
        <v>0</v>
      </c>
      <c r="J153" s="27" t="n">
        <f aca="false">IF(I153&lt;=0,0,MIN(I153,N('Min gæld'!$E$6)+H153))</f>
        <v>0</v>
      </c>
      <c r="K153" s="27" t="n">
        <f aca="false">IF(I153-J153&lt;0.005,0,I153-J153)</f>
        <v>0</v>
      </c>
      <c r="L153" s="27" t="n">
        <f aca="false">MAX(0,IF(N(K152)&lt;=0.005,H153,H153+N('Min gæld'!$E$6)-J153))</f>
        <v>4800</v>
      </c>
      <c r="M153" s="27" t="n">
        <f aca="false">IF(N(O152)&lt;=0.005,0,N(O152)*(1+N('Min gæld'!$D$7)/12))</f>
        <v>0</v>
      </c>
      <c r="N153" s="27" t="n">
        <f aca="false">IF(M153&lt;=0,0,MIN(M153,N('Min gæld'!$E$7)+L153))</f>
        <v>0</v>
      </c>
      <c r="O153" s="27" t="n">
        <f aca="false">IF(M153-N153&lt;0.005,0,M153-N153)</f>
        <v>0</v>
      </c>
      <c r="P153" s="27" t="n">
        <f aca="false">MAX(0,IF(N(O152)&lt;=0.005,L153,L153+N('Min gæld'!$E$7)-N153))</f>
        <v>4800</v>
      </c>
      <c r="Q153" s="27" t="n">
        <f aca="false">IF(N(S152)&lt;=0.005,0,N(S152)*(1+N('Min gæld'!$D$8)/12))</f>
        <v>0</v>
      </c>
      <c r="R153" s="27" t="n">
        <f aca="false">IF(Q153&lt;=0,0,MIN(Q153,N('Min gæld'!$E$8)+P153))</f>
        <v>0</v>
      </c>
      <c r="S153" s="27" t="n">
        <f aca="false">IF(Q153-R153&lt;0.005,0,Q153-R153)</f>
        <v>0</v>
      </c>
      <c r="T153" s="27" t="n">
        <f aca="false">MAX(0,IF(N(S152)&lt;=0.005,P153,P153+N('Min gæld'!$E$8)-R153))</f>
        <v>4800</v>
      </c>
      <c r="U153" s="27" t="n">
        <f aca="false">IF(N(W152)&lt;=0.005,0,N(W152)*(1+N('Min gæld'!$D$9)/12))</f>
        <v>0</v>
      </c>
      <c r="V153" s="27" t="n">
        <f aca="false">IF(U153&lt;=0,0,MIN(U153,N('Min gæld'!$E$9)+T153))</f>
        <v>0</v>
      </c>
      <c r="W153" s="27" t="n">
        <f aca="false">IF(U153-V153&lt;0.005,0,U153-V153)</f>
        <v>0</v>
      </c>
      <c r="X153" s="27" t="n">
        <f aca="false">MAX(0,IF(N(W152)&lt;=0.005,T153,T153+N('Min gæld'!$E$9)-V153))</f>
        <v>4800</v>
      </c>
      <c r="Y153" s="27" t="n">
        <f aca="false">IF(N(AA152)&lt;=0.005,0,N(AA152)*(1+N('Min gæld'!$D$10)/12))</f>
        <v>0</v>
      </c>
      <c r="Z153" s="27" t="n">
        <f aca="false">IF(Y153&lt;=0,0,MIN(Y153,N('Min gæld'!$E$10)+X153))</f>
        <v>0</v>
      </c>
      <c r="AA153" s="27" t="n">
        <f aca="false">IF(Y153-Z153&lt;0.005,0,Y153-Z153)</f>
        <v>0</v>
      </c>
      <c r="AB153" s="27" t="n">
        <f aca="false">MAX(0,IF(N(AA152)&lt;=0.005,X153,X153+N('Min gæld'!$E$10)-Z153))</f>
        <v>4800</v>
      </c>
      <c r="AC153" s="27" t="n">
        <f aca="false">IF(N(AE152)&lt;=0.005,0,N(AE152)*(1+N('Min gæld'!$D$11)/12))</f>
        <v>0</v>
      </c>
      <c r="AD153" s="27" t="n">
        <f aca="false">IF(AC153&lt;=0,0,MIN(AC153,N('Min gæld'!$E$11)+AB153))</f>
        <v>0</v>
      </c>
      <c r="AE153" s="27" t="n">
        <f aca="false">IF(AC153-AD153&lt;0.005,0,AC153-AD153)</f>
        <v>0</v>
      </c>
      <c r="AF153" s="27" t="n">
        <f aca="false">MAX(0,IF(N(AE152)&lt;=0.005,AB153,AB153+N('Min gæld'!$E$11)-AD153))</f>
        <v>4800</v>
      </c>
      <c r="AG153" s="27" t="n">
        <f aca="false">IF(N(AI152)&lt;=0.005,0,N(AI152)*(1+N('Min gæld'!$D$12)/12))</f>
        <v>0</v>
      </c>
      <c r="AH153" s="27" t="n">
        <f aca="false">IF(AG153&lt;=0,0,MIN(AG153,N('Min gæld'!$E$12)+AF153))</f>
        <v>0</v>
      </c>
      <c r="AI153" s="27" t="n">
        <f aca="false">IF(AG153-AH153&lt;0.005,0,AG153-AH153)</f>
        <v>0</v>
      </c>
      <c r="AJ153" s="27" t="n">
        <f aca="false">G153+K153+O153+S153+W153+AA153+AE153+AI153</f>
        <v>0</v>
      </c>
      <c r="AK153" s="28" t="n">
        <f aca="false">IF(E153&gt;0,E153-N(G152),0)+IF(I153&gt;0,I153-N(K152),0)+IF(M153&gt;0,M153-N(O152),0)+IF(Q153&gt;0,Q153-N(S152),0)+IF(U153&gt;0,U153-N(W152),0)+IF(Y153&gt;0,Y153-N(AA152),0)+IF(AC153&gt;0,AC153-N(AE152),0)+IF(AG153&gt;0,AG153-N(AI152),0)</f>
        <v>0</v>
      </c>
    </row>
    <row r="154" customFormat="false" ht="15" hidden="false" customHeight="false" outlineLevel="0" collapsed="false">
      <c r="A154" s="25" t="n">
        <v>149</v>
      </c>
      <c r="B154" s="26" t="n">
        <f aca="false">EDATE('Min gæld'!$C$16,148)</f>
        <v>50891</v>
      </c>
      <c r="C154" s="27" t="n">
        <f aca="false">N('Min gæld'!$C$15)+IF(N(G153)&lt;=0.005,N('Min gæld'!$E$5),0)+IF(N(K153)&lt;=0.005,N('Min gæld'!$E$6),0)+IF(N(O153)&lt;=0.005,N('Min gæld'!$E$7),0)+IF(N(S153)&lt;=0.005,N('Min gæld'!$E$8),0)+IF(N(W153)&lt;=0.005,N('Min gæld'!$E$9),0)+IF(N(AA153)&lt;=0.005,N('Min gæld'!$E$10),0)+IF(N(AE153)&lt;=0.005,N('Min gæld'!$E$11),0)+IF(N(AI153)&lt;=0.005,N('Min gæld'!$E$12),0)</f>
        <v>4800</v>
      </c>
      <c r="D154" s="27" t="n">
        <f aca="false">MAX(0,C154)</f>
        <v>4800</v>
      </c>
      <c r="E154" s="27" t="n">
        <f aca="false">IF(N(G153)&lt;=0.005,0,N(G153)*(1+N('Min gæld'!$D$5)/12))</f>
        <v>0</v>
      </c>
      <c r="F154" s="27" t="n">
        <f aca="false">IF(E154&lt;=0,0,MIN(E154,N('Min gæld'!$E$5)+D154))</f>
        <v>0</v>
      </c>
      <c r="G154" s="27" t="n">
        <f aca="false">IF(E154-F154&lt;0.005,0,E154-F154)</f>
        <v>0</v>
      </c>
      <c r="H154" s="27" t="n">
        <f aca="false">MAX(0,IF(N(G153)&lt;=0.005,D154,D154+N('Min gæld'!$E$5)-F154))</f>
        <v>4800</v>
      </c>
      <c r="I154" s="27" t="n">
        <f aca="false">IF(N(K153)&lt;=0.005,0,N(K153)*(1+N('Min gæld'!$D$6)/12))</f>
        <v>0</v>
      </c>
      <c r="J154" s="27" t="n">
        <f aca="false">IF(I154&lt;=0,0,MIN(I154,N('Min gæld'!$E$6)+H154))</f>
        <v>0</v>
      </c>
      <c r="K154" s="27" t="n">
        <f aca="false">IF(I154-J154&lt;0.005,0,I154-J154)</f>
        <v>0</v>
      </c>
      <c r="L154" s="27" t="n">
        <f aca="false">MAX(0,IF(N(K153)&lt;=0.005,H154,H154+N('Min gæld'!$E$6)-J154))</f>
        <v>4800</v>
      </c>
      <c r="M154" s="27" t="n">
        <f aca="false">IF(N(O153)&lt;=0.005,0,N(O153)*(1+N('Min gæld'!$D$7)/12))</f>
        <v>0</v>
      </c>
      <c r="N154" s="27" t="n">
        <f aca="false">IF(M154&lt;=0,0,MIN(M154,N('Min gæld'!$E$7)+L154))</f>
        <v>0</v>
      </c>
      <c r="O154" s="27" t="n">
        <f aca="false">IF(M154-N154&lt;0.005,0,M154-N154)</f>
        <v>0</v>
      </c>
      <c r="P154" s="27" t="n">
        <f aca="false">MAX(0,IF(N(O153)&lt;=0.005,L154,L154+N('Min gæld'!$E$7)-N154))</f>
        <v>4800</v>
      </c>
      <c r="Q154" s="27" t="n">
        <f aca="false">IF(N(S153)&lt;=0.005,0,N(S153)*(1+N('Min gæld'!$D$8)/12))</f>
        <v>0</v>
      </c>
      <c r="R154" s="27" t="n">
        <f aca="false">IF(Q154&lt;=0,0,MIN(Q154,N('Min gæld'!$E$8)+P154))</f>
        <v>0</v>
      </c>
      <c r="S154" s="27" t="n">
        <f aca="false">IF(Q154-R154&lt;0.005,0,Q154-R154)</f>
        <v>0</v>
      </c>
      <c r="T154" s="27" t="n">
        <f aca="false">MAX(0,IF(N(S153)&lt;=0.005,P154,P154+N('Min gæld'!$E$8)-R154))</f>
        <v>4800</v>
      </c>
      <c r="U154" s="27" t="n">
        <f aca="false">IF(N(W153)&lt;=0.005,0,N(W153)*(1+N('Min gæld'!$D$9)/12))</f>
        <v>0</v>
      </c>
      <c r="V154" s="27" t="n">
        <f aca="false">IF(U154&lt;=0,0,MIN(U154,N('Min gæld'!$E$9)+T154))</f>
        <v>0</v>
      </c>
      <c r="W154" s="27" t="n">
        <f aca="false">IF(U154-V154&lt;0.005,0,U154-V154)</f>
        <v>0</v>
      </c>
      <c r="X154" s="27" t="n">
        <f aca="false">MAX(0,IF(N(W153)&lt;=0.005,T154,T154+N('Min gæld'!$E$9)-V154))</f>
        <v>4800</v>
      </c>
      <c r="Y154" s="27" t="n">
        <f aca="false">IF(N(AA153)&lt;=0.005,0,N(AA153)*(1+N('Min gæld'!$D$10)/12))</f>
        <v>0</v>
      </c>
      <c r="Z154" s="27" t="n">
        <f aca="false">IF(Y154&lt;=0,0,MIN(Y154,N('Min gæld'!$E$10)+X154))</f>
        <v>0</v>
      </c>
      <c r="AA154" s="27" t="n">
        <f aca="false">IF(Y154-Z154&lt;0.005,0,Y154-Z154)</f>
        <v>0</v>
      </c>
      <c r="AB154" s="27" t="n">
        <f aca="false">MAX(0,IF(N(AA153)&lt;=0.005,X154,X154+N('Min gæld'!$E$10)-Z154))</f>
        <v>4800</v>
      </c>
      <c r="AC154" s="27" t="n">
        <f aca="false">IF(N(AE153)&lt;=0.005,0,N(AE153)*(1+N('Min gæld'!$D$11)/12))</f>
        <v>0</v>
      </c>
      <c r="AD154" s="27" t="n">
        <f aca="false">IF(AC154&lt;=0,0,MIN(AC154,N('Min gæld'!$E$11)+AB154))</f>
        <v>0</v>
      </c>
      <c r="AE154" s="27" t="n">
        <f aca="false">IF(AC154-AD154&lt;0.005,0,AC154-AD154)</f>
        <v>0</v>
      </c>
      <c r="AF154" s="27" t="n">
        <f aca="false">MAX(0,IF(N(AE153)&lt;=0.005,AB154,AB154+N('Min gæld'!$E$11)-AD154))</f>
        <v>4800</v>
      </c>
      <c r="AG154" s="27" t="n">
        <f aca="false">IF(N(AI153)&lt;=0.005,0,N(AI153)*(1+N('Min gæld'!$D$12)/12))</f>
        <v>0</v>
      </c>
      <c r="AH154" s="27" t="n">
        <f aca="false">IF(AG154&lt;=0,0,MIN(AG154,N('Min gæld'!$E$12)+AF154))</f>
        <v>0</v>
      </c>
      <c r="AI154" s="27" t="n">
        <f aca="false">IF(AG154-AH154&lt;0.005,0,AG154-AH154)</f>
        <v>0</v>
      </c>
      <c r="AJ154" s="27" t="n">
        <f aca="false">G154+K154+O154+S154+W154+AA154+AE154+AI154</f>
        <v>0</v>
      </c>
      <c r="AK154" s="28" t="n">
        <f aca="false">IF(E154&gt;0,E154-N(G153),0)+IF(I154&gt;0,I154-N(K153),0)+IF(M154&gt;0,M154-N(O153),0)+IF(Q154&gt;0,Q154-N(S153),0)+IF(U154&gt;0,U154-N(W153),0)+IF(Y154&gt;0,Y154-N(AA153),0)+IF(AC154&gt;0,AC154-N(AE153),0)+IF(AG154&gt;0,AG154-N(AI153),0)</f>
        <v>0</v>
      </c>
    </row>
    <row r="155" customFormat="false" ht="15" hidden="false" customHeight="false" outlineLevel="0" collapsed="false">
      <c r="A155" s="25" t="n">
        <v>150</v>
      </c>
      <c r="B155" s="26" t="n">
        <f aca="false">EDATE('Min gæld'!$C$16,149)</f>
        <v>50922</v>
      </c>
      <c r="C155" s="27" t="n">
        <f aca="false">N('Min gæld'!$C$15)+IF(N(G154)&lt;=0.005,N('Min gæld'!$E$5),0)+IF(N(K154)&lt;=0.005,N('Min gæld'!$E$6),0)+IF(N(O154)&lt;=0.005,N('Min gæld'!$E$7),0)+IF(N(S154)&lt;=0.005,N('Min gæld'!$E$8),0)+IF(N(W154)&lt;=0.005,N('Min gæld'!$E$9),0)+IF(N(AA154)&lt;=0.005,N('Min gæld'!$E$10),0)+IF(N(AE154)&lt;=0.005,N('Min gæld'!$E$11),0)+IF(N(AI154)&lt;=0.005,N('Min gæld'!$E$12),0)</f>
        <v>4800</v>
      </c>
      <c r="D155" s="27" t="n">
        <f aca="false">MAX(0,C155)</f>
        <v>4800</v>
      </c>
      <c r="E155" s="27" t="n">
        <f aca="false">IF(N(G154)&lt;=0.005,0,N(G154)*(1+N('Min gæld'!$D$5)/12))</f>
        <v>0</v>
      </c>
      <c r="F155" s="27" t="n">
        <f aca="false">IF(E155&lt;=0,0,MIN(E155,N('Min gæld'!$E$5)+D155))</f>
        <v>0</v>
      </c>
      <c r="G155" s="27" t="n">
        <f aca="false">IF(E155-F155&lt;0.005,0,E155-F155)</f>
        <v>0</v>
      </c>
      <c r="H155" s="27" t="n">
        <f aca="false">MAX(0,IF(N(G154)&lt;=0.005,D155,D155+N('Min gæld'!$E$5)-F155))</f>
        <v>4800</v>
      </c>
      <c r="I155" s="27" t="n">
        <f aca="false">IF(N(K154)&lt;=0.005,0,N(K154)*(1+N('Min gæld'!$D$6)/12))</f>
        <v>0</v>
      </c>
      <c r="J155" s="27" t="n">
        <f aca="false">IF(I155&lt;=0,0,MIN(I155,N('Min gæld'!$E$6)+H155))</f>
        <v>0</v>
      </c>
      <c r="K155" s="27" t="n">
        <f aca="false">IF(I155-J155&lt;0.005,0,I155-J155)</f>
        <v>0</v>
      </c>
      <c r="L155" s="27" t="n">
        <f aca="false">MAX(0,IF(N(K154)&lt;=0.005,H155,H155+N('Min gæld'!$E$6)-J155))</f>
        <v>4800</v>
      </c>
      <c r="M155" s="27" t="n">
        <f aca="false">IF(N(O154)&lt;=0.005,0,N(O154)*(1+N('Min gæld'!$D$7)/12))</f>
        <v>0</v>
      </c>
      <c r="N155" s="27" t="n">
        <f aca="false">IF(M155&lt;=0,0,MIN(M155,N('Min gæld'!$E$7)+L155))</f>
        <v>0</v>
      </c>
      <c r="O155" s="27" t="n">
        <f aca="false">IF(M155-N155&lt;0.005,0,M155-N155)</f>
        <v>0</v>
      </c>
      <c r="P155" s="27" t="n">
        <f aca="false">MAX(0,IF(N(O154)&lt;=0.005,L155,L155+N('Min gæld'!$E$7)-N155))</f>
        <v>4800</v>
      </c>
      <c r="Q155" s="27" t="n">
        <f aca="false">IF(N(S154)&lt;=0.005,0,N(S154)*(1+N('Min gæld'!$D$8)/12))</f>
        <v>0</v>
      </c>
      <c r="R155" s="27" t="n">
        <f aca="false">IF(Q155&lt;=0,0,MIN(Q155,N('Min gæld'!$E$8)+P155))</f>
        <v>0</v>
      </c>
      <c r="S155" s="27" t="n">
        <f aca="false">IF(Q155-R155&lt;0.005,0,Q155-R155)</f>
        <v>0</v>
      </c>
      <c r="T155" s="27" t="n">
        <f aca="false">MAX(0,IF(N(S154)&lt;=0.005,P155,P155+N('Min gæld'!$E$8)-R155))</f>
        <v>4800</v>
      </c>
      <c r="U155" s="27" t="n">
        <f aca="false">IF(N(W154)&lt;=0.005,0,N(W154)*(1+N('Min gæld'!$D$9)/12))</f>
        <v>0</v>
      </c>
      <c r="V155" s="27" t="n">
        <f aca="false">IF(U155&lt;=0,0,MIN(U155,N('Min gæld'!$E$9)+T155))</f>
        <v>0</v>
      </c>
      <c r="W155" s="27" t="n">
        <f aca="false">IF(U155-V155&lt;0.005,0,U155-V155)</f>
        <v>0</v>
      </c>
      <c r="X155" s="27" t="n">
        <f aca="false">MAX(0,IF(N(W154)&lt;=0.005,T155,T155+N('Min gæld'!$E$9)-V155))</f>
        <v>4800</v>
      </c>
      <c r="Y155" s="27" t="n">
        <f aca="false">IF(N(AA154)&lt;=0.005,0,N(AA154)*(1+N('Min gæld'!$D$10)/12))</f>
        <v>0</v>
      </c>
      <c r="Z155" s="27" t="n">
        <f aca="false">IF(Y155&lt;=0,0,MIN(Y155,N('Min gæld'!$E$10)+X155))</f>
        <v>0</v>
      </c>
      <c r="AA155" s="27" t="n">
        <f aca="false">IF(Y155-Z155&lt;0.005,0,Y155-Z155)</f>
        <v>0</v>
      </c>
      <c r="AB155" s="27" t="n">
        <f aca="false">MAX(0,IF(N(AA154)&lt;=0.005,X155,X155+N('Min gæld'!$E$10)-Z155))</f>
        <v>4800</v>
      </c>
      <c r="AC155" s="27" t="n">
        <f aca="false">IF(N(AE154)&lt;=0.005,0,N(AE154)*(1+N('Min gæld'!$D$11)/12))</f>
        <v>0</v>
      </c>
      <c r="AD155" s="27" t="n">
        <f aca="false">IF(AC155&lt;=0,0,MIN(AC155,N('Min gæld'!$E$11)+AB155))</f>
        <v>0</v>
      </c>
      <c r="AE155" s="27" t="n">
        <f aca="false">IF(AC155-AD155&lt;0.005,0,AC155-AD155)</f>
        <v>0</v>
      </c>
      <c r="AF155" s="27" t="n">
        <f aca="false">MAX(0,IF(N(AE154)&lt;=0.005,AB155,AB155+N('Min gæld'!$E$11)-AD155))</f>
        <v>4800</v>
      </c>
      <c r="AG155" s="27" t="n">
        <f aca="false">IF(N(AI154)&lt;=0.005,0,N(AI154)*(1+N('Min gæld'!$D$12)/12))</f>
        <v>0</v>
      </c>
      <c r="AH155" s="27" t="n">
        <f aca="false">IF(AG155&lt;=0,0,MIN(AG155,N('Min gæld'!$E$12)+AF155))</f>
        <v>0</v>
      </c>
      <c r="AI155" s="27" t="n">
        <f aca="false">IF(AG155-AH155&lt;0.005,0,AG155-AH155)</f>
        <v>0</v>
      </c>
      <c r="AJ155" s="27" t="n">
        <f aca="false">G155+K155+O155+S155+W155+AA155+AE155+AI155</f>
        <v>0</v>
      </c>
      <c r="AK155" s="28" t="n">
        <f aca="false">IF(E155&gt;0,E155-N(G154),0)+IF(I155&gt;0,I155-N(K154),0)+IF(M155&gt;0,M155-N(O154),0)+IF(Q155&gt;0,Q155-N(S154),0)+IF(U155&gt;0,U155-N(W154),0)+IF(Y155&gt;0,Y155-N(AA154),0)+IF(AC155&gt;0,AC155-N(AE154),0)+IF(AG155&gt;0,AG155-N(AI154),0)</f>
        <v>0</v>
      </c>
    </row>
    <row r="156" customFormat="false" ht="15" hidden="false" customHeight="false" outlineLevel="0" collapsed="false">
      <c r="A156" s="25" t="n">
        <v>151</v>
      </c>
      <c r="B156" s="26" t="n">
        <f aca="false">EDATE('Min gæld'!$C$16,150)</f>
        <v>50952</v>
      </c>
      <c r="C156" s="27" t="n">
        <f aca="false">N('Min gæld'!$C$15)+IF(N(G155)&lt;=0.005,N('Min gæld'!$E$5),0)+IF(N(K155)&lt;=0.005,N('Min gæld'!$E$6),0)+IF(N(O155)&lt;=0.005,N('Min gæld'!$E$7),0)+IF(N(S155)&lt;=0.005,N('Min gæld'!$E$8),0)+IF(N(W155)&lt;=0.005,N('Min gæld'!$E$9),0)+IF(N(AA155)&lt;=0.005,N('Min gæld'!$E$10),0)+IF(N(AE155)&lt;=0.005,N('Min gæld'!$E$11),0)+IF(N(AI155)&lt;=0.005,N('Min gæld'!$E$12),0)</f>
        <v>4800</v>
      </c>
      <c r="D156" s="27" t="n">
        <f aca="false">MAX(0,C156)</f>
        <v>4800</v>
      </c>
      <c r="E156" s="27" t="n">
        <f aca="false">IF(N(G155)&lt;=0.005,0,N(G155)*(1+N('Min gæld'!$D$5)/12))</f>
        <v>0</v>
      </c>
      <c r="F156" s="27" t="n">
        <f aca="false">IF(E156&lt;=0,0,MIN(E156,N('Min gæld'!$E$5)+D156))</f>
        <v>0</v>
      </c>
      <c r="G156" s="27" t="n">
        <f aca="false">IF(E156-F156&lt;0.005,0,E156-F156)</f>
        <v>0</v>
      </c>
      <c r="H156" s="27" t="n">
        <f aca="false">MAX(0,IF(N(G155)&lt;=0.005,D156,D156+N('Min gæld'!$E$5)-F156))</f>
        <v>4800</v>
      </c>
      <c r="I156" s="27" t="n">
        <f aca="false">IF(N(K155)&lt;=0.005,0,N(K155)*(1+N('Min gæld'!$D$6)/12))</f>
        <v>0</v>
      </c>
      <c r="J156" s="27" t="n">
        <f aca="false">IF(I156&lt;=0,0,MIN(I156,N('Min gæld'!$E$6)+H156))</f>
        <v>0</v>
      </c>
      <c r="K156" s="27" t="n">
        <f aca="false">IF(I156-J156&lt;0.005,0,I156-J156)</f>
        <v>0</v>
      </c>
      <c r="L156" s="27" t="n">
        <f aca="false">MAX(0,IF(N(K155)&lt;=0.005,H156,H156+N('Min gæld'!$E$6)-J156))</f>
        <v>4800</v>
      </c>
      <c r="M156" s="27" t="n">
        <f aca="false">IF(N(O155)&lt;=0.005,0,N(O155)*(1+N('Min gæld'!$D$7)/12))</f>
        <v>0</v>
      </c>
      <c r="N156" s="27" t="n">
        <f aca="false">IF(M156&lt;=0,0,MIN(M156,N('Min gæld'!$E$7)+L156))</f>
        <v>0</v>
      </c>
      <c r="O156" s="27" t="n">
        <f aca="false">IF(M156-N156&lt;0.005,0,M156-N156)</f>
        <v>0</v>
      </c>
      <c r="P156" s="27" t="n">
        <f aca="false">MAX(0,IF(N(O155)&lt;=0.005,L156,L156+N('Min gæld'!$E$7)-N156))</f>
        <v>4800</v>
      </c>
      <c r="Q156" s="27" t="n">
        <f aca="false">IF(N(S155)&lt;=0.005,0,N(S155)*(1+N('Min gæld'!$D$8)/12))</f>
        <v>0</v>
      </c>
      <c r="R156" s="27" t="n">
        <f aca="false">IF(Q156&lt;=0,0,MIN(Q156,N('Min gæld'!$E$8)+P156))</f>
        <v>0</v>
      </c>
      <c r="S156" s="27" t="n">
        <f aca="false">IF(Q156-R156&lt;0.005,0,Q156-R156)</f>
        <v>0</v>
      </c>
      <c r="T156" s="27" t="n">
        <f aca="false">MAX(0,IF(N(S155)&lt;=0.005,P156,P156+N('Min gæld'!$E$8)-R156))</f>
        <v>4800</v>
      </c>
      <c r="U156" s="27" t="n">
        <f aca="false">IF(N(W155)&lt;=0.005,0,N(W155)*(1+N('Min gæld'!$D$9)/12))</f>
        <v>0</v>
      </c>
      <c r="V156" s="27" t="n">
        <f aca="false">IF(U156&lt;=0,0,MIN(U156,N('Min gæld'!$E$9)+T156))</f>
        <v>0</v>
      </c>
      <c r="W156" s="27" t="n">
        <f aca="false">IF(U156-V156&lt;0.005,0,U156-V156)</f>
        <v>0</v>
      </c>
      <c r="X156" s="27" t="n">
        <f aca="false">MAX(0,IF(N(W155)&lt;=0.005,T156,T156+N('Min gæld'!$E$9)-V156))</f>
        <v>4800</v>
      </c>
      <c r="Y156" s="27" t="n">
        <f aca="false">IF(N(AA155)&lt;=0.005,0,N(AA155)*(1+N('Min gæld'!$D$10)/12))</f>
        <v>0</v>
      </c>
      <c r="Z156" s="27" t="n">
        <f aca="false">IF(Y156&lt;=0,0,MIN(Y156,N('Min gæld'!$E$10)+X156))</f>
        <v>0</v>
      </c>
      <c r="AA156" s="27" t="n">
        <f aca="false">IF(Y156-Z156&lt;0.005,0,Y156-Z156)</f>
        <v>0</v>
      </c>
      <c r="AB156" s="27" t="n">
        <f aca="false">MAX(0,IF(N(AA155)&lt;=0.005,X156,X156+N('Min gæld'!$E$10)-Z156))</f>
        <v>4800</v>
      </c>
      <c r="AC156" s="27" t="n">
        <f aca="false">IF(N(AE155)&lt;=0.005,0,N(AE155)*(1+N('Min gæld'!$D$11)/12))</f>
        <v>0</v>
      </c>
      <c r="AD156" s="27" t="n">
        <f aca="false">IF(AC156&lt;=0,0,MIN(AC156,N('Min gæld'!$E$11)+AB156))</f>
        <v>0</v>
      </c>
      <c r="AE156" s="27" t="n">
        <f aca="false">IF(AC156-AD156&lt;0.005,0,AC156-AD156)</f>
        <v>0</v>
      </c>
      <c r="AF156" s="27" t="n">
        <f aca="false">MAX(0,IF(N(AE155)&lt;=0.005,AB156,AB156+N('Min gæld'!$E$11)-AD156))</f>
        <v>4800</v>
      </c>
      <c r="AG156" s="27" t="n">
        <f aca="false">IF(N(AI155)&lt;=0.005,0,N(AI155)*(1+N('Min gæld'!$D$12)/12))</f>
        <v>0</v>
      </c>
      <c r="AH156" s="27" t="n">
        <f aca="false">IF(AG156&lt;=0,0,MIN(AG156,N('Min gæld'!$E$12)+AF156))</f>
        <v>0</v>
      </c>
      <c r="AI156" s="27" t="n">
        <f aca="false">IF(AG156-AH156&lt;0.005,0,AG156-AH156)</f>
        <v>0</v>
      </c>
      <c r="AJ156" s="27" t="n">
        <f aca="false">G156+K156+O156+S156+W156+AA156+AE156+AI156</f>
        <v>0</v>
      </c>
      <c r="AK156" s="28" t="n">
        <f aca="false">IF(E156&gt;0,E156-N(G155),0)+IF(I156&gt;0,I156-N(K155),0)+IF(M156&gt;0,M156-N(O155),0)+IF(Q156&gt;0,Q156-N(S155),0)+IF(U156&gt;0,U156-N(W155),0)+IF(Y156&gt;0,Y156-N(AA155),0)+IF(AC156&gt;0,AC156-N(AE155),0)+IF(AG156&gt;0,AG156-N(AI155),0)</f>
        <v>0</v>
      </c>
    </row>
    <row r="157" customFormat="false" ht="15" hidden="false" customHeight="false" outlineLevel="0" collapsed="false">
      <c r="A157" s="25" t="n">
        <v>152</v>
      </c>
      <c r="B157" s="26" t="n">
        <f aca="false">EDATE('Min gæld'!$C$16,151)</f>
        <v>50983</v>
      </c>
      <c r="C157" s="27" t="n">
        <f aca="false">N('Min gæld'!$C$15)+IF(N(G156)&lt;=0.005,N('Min gæld'!$E$5),0)+IF(N(K156)&lt;=0.005,N('Min gæld'!$E$6),0)+IF(N(O156)&lt;=0.005,N('Min gæld'!$E$7),0)+IF(N(S156)&lt;=0.005,N('Min gæld'!$E$8),0)+IF(N(W156)&lt;=0.005,N('Min gæld'!$E$9),0)+IF(N(AA156)&lt;=0.005,N('Min gæld'!$E$10),0)+IF(N(AE156)&lt;=0.005,N('Min gæld'!$E$11),0)+IF(N(AI156)&lt;=0.005,N('Min gæld'!$E$12),0)</f>
        <v>4800</v>
      </c>
      <c r="D157" s="27" t="n">
        <f aca="false">MAX(0,C157)</f>
        <v>4800</v>
      </c>
      <c r="E157" s="27" t="n">
        <f aca="false">IF(N(G156)&lt;=0.005,0,N(G156)*(1+N('Min gæld'!$D$5)/12))</f>
        <v>0</v>
      </c>
      <c r="F157" s="27" t="n">
        <f aca="false">IF(E157&lt;=0,0,MIN(E157,N('Min gæld'!$E$5)+D157))</f>
        <v>0</v>
      </c>
      <c r="G157" s="27" t="n">
        <f aca="false">IF(E157-F157&lt;0.005,0,E157-F157)</f>
        <v>0</v>
      </c>
      <c r="H157" s="27" t="n">
        <f aca="false">MAX(0,IF(N(G156)&lt;=0.005,D157,D157+N('Min gæld'!$E$5)-F157))</f>
        <v>4800</v>
      </c>
      <c r="I157" s="27" t="n">
        <f aca="false">IF(N(K156)&lt;=0.005,0,N(K156)*(1+N('Min gæld'!$D$6)/12))</f>
        <v>0</v>
      </c>
      <c r="J157" s="27" t="n">
        <f aca="false">IF(I157&lt;=0,0,MIN(I157,N('Min gæld'!$E$6)+H157))</f>
        <v>0</v>
      </c>
      <c r="K157" s="27" t="n">
        <f aca="false">IF(I157-J157&lt;0.005,0,I157-J157)</f>
        <v>0</v>
      </c>
      <c r="L157" s="27" t="n">
        <f aca="false">MAX(0,IF(N(K156)&lt;=0.005,H157,H157+N('Min gæld'!$E$6)-J157))</f>
        <v>4800</v>
      </c>
      <c r="M157" s="27" t="n">
        <f aca="false">IF(N(O156)&lt;=0.005,0,N(O156)*(1+N('Min gæld'!$D$7)/12))</f>
        <v>0</v>
      </c>
      <c r="N157" s="27" t="n">
        <f aca="false">IF(M157&lt;=0,0,MIN(M157,N('Min gæld'!$E$7)+L157))</f>
        <v>0</v>
      </c>
      <c r="O157" s="27" t="n">
        <f aca="false">IF(M157-N157&lt;0.005,0,M157-N157)</f>
        <v>0</v>
      </c>
      <c r="P157" s="27" t="n">
        <f aca="false">MAX(0,IF(N(O156)&lt;=0.005,L157,L157+N('Min gæld'!$E$7)-N157))</f>
        <v>4800</v>
      </c>
      <c r="Q157" s="27" t="n">
        <f aca="false">IF(N(S156)&lt;=0.005,0,N(S156)*(1+N('Min gæld'!$D$8)/12))</f>
        <v>0</v>
      </c>
      <c r="R157" s="27" t="n">
        <f aca="false">IF(Q157&lt;=0,0,MIN(Q157,N('Min gæld'!$E$8)+P157))</f>
        <v>0</v>
      </c>
      <c r="S157" s="27" t="n">
        <f aca="false">IF(Q157-R157&lt;0.005,0,Q157-R157)</f>
        <v>0</v>
      </c>
      <c r="T157" s="27" t="n">
        <f aca="false">MAX(0,IF(N(S156)&lt;=0.005,P157,P157+N('Min gæld'!$E$8)-R157))</f>
        <v>4800</v>
      </c>
      <c r="U157" s="27" t="n">
        <f aca="false">IF(N(W156)&lt;=0.005,0,N(W156)*(1+N('Min gæld'!$D$9)/12))</f>
        <v>0</v>
      </c>
      <c r="V157" s="27" t="n">
        <f aca="false">IF(U157&lt;=0,0,MIN(U157,N('Min gæld'!$E$9)+T157))</f>
        <v>0</v>
      </c>
      <c r="W157" s="27" t="n">
        <f aca="false">IF(U157-V157&lt;0.005,0,U157-V157)</f>
        <v>0</v>
      </c>
      <c r="X157" s="27" t="n">
        <f aca="false">MAX(0,IF(N(W156)&lt;=0.005,T157,T157+N('Min gæld'!$E$9)-V157))</f>
        <v>4800</v>
      </c>
      <c r="Y157" s="27" t="n">
        <f aca="false">IF(N(AA156)&lt;=0.005,0,N(AA156)*(1+N('Min gæld'!$D$10)/12))</f>
        <v>0</v>
      </c>
      <c r="Z157" s="27" t="n">
        <f aca="false">IF(Y157&lt;=0,0,MIN(Y157,N('Min gæld'!$E$10)+X157))</f>
        <v>0</v>
      </c>
      <c r="AA157" s="27" t="n">
        <f aca="false">IF(Y157-Z157&lt;0.005,0,Y157-Z157)</f>
        <v>0</v>
      </c>
      <c r="AB157" s="27" t="n">
        <f aca="false">MAX(0,IF(N(AA156)&lt;=0.005,X157,X157+N('Min gæld'!$E$10)-Z157))</f>
        <v>4800</v>
      </c>
      <c r="AC157" s="27" t="n">
        <f aca="false">IF(N(AE156)&lt;=0.005,0,N(AE156)*(1+N('Min gæld'!$D$11)/12))</f>
        <v>0</v>
      </c>
      <c r="AD157" s="27" t="n">
        <f aca="false">IF(AC157&lt;=0,0,MIN(AC157,N('Min gæld'!$E$11)+AB157))</f>
        <v>0</v>
      </c>
      <c r="AE157" s="27" t="n">
        <f aca="false">IF(AC157-AD157&lt;0.005,0,AC157-AD157)</f>
        <v>0</v>
      </c>
      <c r="AF157" s="27" t="n">
        <f aca="false">MAX(0,IF(N(AE156)&lt;=0.005,AB157,AB157+N('Min gæld'!$E$11)-AD157))</f>
        <v>4800</v>
      </c>
      <c r="AG157" s="27" t="n">
        <f aca="false">IF(N(AI156)&lt;=0.005,0,N(AI156)*(1+N('Min gæld'!$D$12)/12))</f>
        <v>0</v>
      </c>
      <c r="AH157" s="27" t="n">
        <f aca="false">IF(AG157&lt;=0,0,MIN(AG157,N('Min gæld'!$E$12)+AF157))</f>
        <v>0</v>
      </c>
      <c r="AI157" s="27" t="n">
        <f aca="false">IF(AG157-AH157&lt;0.005,0,AG157-AH157)</f>
        <v>0</v>
      </c>
      <c r="AJ157" s="27" t="n">
        <f aca="false">G157+K157+O157+S157+W157+AA157+AE157+AI157</f>
        <v>0</v>
      </c>
      <c r="AK157" s="28" t="n">
        <f aca="false">IF(E157&gt;0,E157-N(G156),0)+IF(I157&gt;0,I157-N(K156),0)+IF(M157&gt;0,M157-N(O156),0)+IF(Q157&gt;0,Q157-N(S156),0)+IF(U157&gt;0,U157-N(W156),0)+IF(Y157&gt;0,Y157-N(AA156),0)+IF(AC157&gt;0,AC157-N(AE156),0)+IF(AG157&gt;0,AG157-N(AI156),0)</f>
        <v>0</v>
      </c>
    </row>
    <row r="158" customFormat="false" ht="15" hidden="false" customHeight="false" outlineLevel="0" collapsed="false">
      <c r="A158" s="25" t="n">
        <v>153</v>
      </c>
      <c r="B158" s="26" t="n">
        <f aca="false">EDATE('Min gæld'!$C$16,152)</f>
        <v>51014</v>
      </c>
      <c r="C158" s="27" t="n">
        <f aca="false">N('Min gæld'!$C$15)+IF(N(G157)&lt;=0.005,N('Min gæld'!$E$5),0)+IF(N(K157)&lt;=0.005,N('Min gæld'!$E$6),0)+IF(N(O157)&lt;=0.005,N('Min gæld'!$E$7),0)+IF(N(S157)&lt;=0.005,N('Min gæld'!$E$8),0)+IF(N(W157)&lt;=0.005,N('Min gæld'!$E$9),0)+IF(N(AA157)&lt;=0.005,N('Min gæld'!$E$10),0)+IF(N(AE157)&lt;=0.005,N('Min gæld'!$E$11),0)+IF(N(AI157)&lt;=0.005,N('Min gæld'!$E$12),0)</f>
        <v>4800</v>
      </c>
      <c r="D158" s="27" t="n">
        <f aca="false">MAX(0,C158)</f>
        <v>4800</v>
      </c>
      <c r="E158" s="27" t="n">
        <f aca="false">IF(N(G157)&lt;=0.005,0,N(G157)*(1+N('Min gæld'!$D$5)/12))</f>
        <v>0</v>
      </c>
      <c r="F158" s="27" t="n">
        <f aca="false">IF(E158&lt;=0,0,MIN(E158,N('Min gæld'!$E$5)+D158))</f>
        <v>0</v>
      </c>
      <c r="G158" s="27" t="n">
        <f aca="false">IF(E158-F158&lt;0.005,0,E158-F158)</f>
        <v>0</v>
      </c>
      <c r="H158" s="27" t="n">
        <f aca="false">MAX(0,IF(N(G157)&lt;=0.005,D158,D158+N('Min gæld'!$E$5)-F158))</f>
        <v>4800</v>
      </c>
      <c r="I158" s="27" t="n">
        <f aca="false">IF(N(K157)&lt;=0.005,0,N(K157)*(1+N('Min gæld'!$D$6)/12))</f>
        <v>0</v>
      </c>
      <c r="J158" s="27" t="n">
        <f aca="false">IF(I158&lt;=0,0,MIN(I158,N('Min gæld'!$E$6)+H158))</f>
        <v>0</v>
      </c>
      <c r="K158" s="27" t="n">
        <f aca="false">IF(I158-J158&lt;0.005,0,I158-J158)</f>
        <v>0</v>
      </c>
      <c r="L158" s="27" t="n">
        <f aca="false">MAX(0,IF(N(K157)&lt;=0.005,H158,H158+N('Min gæld'!$E$6)-J158))</f>
        <v>4800</v>
      </c>
      <c r="M158" s="27" t="n">
        <f aca="false">IF(N(O157)&lt;=0.005,0,N(O157)*(1+N('Min gæld'!$D$7)/12))</f>
        <v>0</v>
      </c>
      <c r="N158" s="27" t="n">
        <f aca="false">IF(M158&lt;=0,0,MIN(M158,N('Min gæld'!$E$7)+L158))</f>
        <v>0</v>
      </c>
      <c r="O158" s="27" t="n">
        <f aca="false">IF(M158-N158&lt;0.005,0,M158-N158)</f>
        <v>0</v>
      </c>
      <c r="P158" s="27" t="n">
        <f aca="false">MAX(0,IF(N(O157)&lt;=0.005,L158,L158+N('Min gæld'!$E$7)-N158))</f>
        <v>4800</v>
      </c>
      <c r="Q158" s="27" t="n">
        <f aca="false">IF(N(S157)&lt;=0.005,0,N(S157)*(1+N('Min gæld'!$D$8)/12))</f>
        <v>0</v>
      </c>
      <c r="R158" s="27" t="n">
        <f aca="false">IF(Q158&lt;=0,0,MIN(Q158,N('Min gæld'!$E$8)+P158))</f>
        <v>0</v>
      </c>
      <c r="S158" s="27" t="n">
        <f aca="false">IF(Q158-R158&lt;0.005,0,Q158-R158)</f>
        <v>0</v>
      </c>
      <c r="T158" s="27" t="n">
        <f aca="false">MAX(0,IF(N(S157)&lt;=0.005,P158,P158+N('Min gæld'!$E$8)-R158))</f>
        <v>4800</v>
      </c>
      <c r="U158" s="27" t="n">
        <f aca="false">IF(N(W157)&lt;=0.005,0,N(W157)*(1+N('Min gæld'!$D$9)/12))</f>
        <v>0</v>
      </c>
      <c r="V158" s="27" t="n">
        <f aca="false">IF(U158&lt;=0,0,MIN(U158,N('Min gæld'!$E$9)+T158))</f>
        <v>0</v>
      </c>
      <c r="W158" s="27" t="n">
        <f aca="false">IF(U158-V158&lt;0.005,0,U158-V158)</f>
        <v>0</v>
      </c>
      <c r="X158" s="27" t="n">
        <f aca="false">MAX(0,IF(N(W157)&lt;=0.005,T158,T158+N('Min gæld'!$E$9)-V158))</f>
        <v>4800</v>
      </c>
      <c r="Y158" s="27" t="n">
        <f aca="false">IF(N(AA157)&lt;=0.005,0,N(AA157)*(1+N('Min gæld'!$D$10)/12))</f>
        <v>0</v>
      </c>
      <c r="Z158" s="27" t="n">
        <f aca="false">IF(Y158&lt;=0,0,MIN(Y158,N('Min gæld'!$E$10)+X158))</f>
        <v>0</v>
      </c>
      <c r="AA158" s="27" t="n">
        <f aca="false">IF(Y158-Z158&lt;0.005,0,Y158-Z158)</f>
        <v>0</v>
      </c>
      <c r="AB158" s="27" t="n">
        <f aca="false">MAX(0,IF(N(AA157)&lt;=0.005,X158,X158+N('Min gæld'!$E$10)-Z158))</f>
        <v>4800</v>
      </c>
      <c r="AC158" s="27" t="n">
        <f aca="false">IF(N(AE157)&lt;=0.005,0,N(AE157)*(1+N('Min gæld'!$D$11)/12))</f>
        <v>0</v>
      </c>
      <c r="AD158" s="27" t="n">
        <f aca="false">IF(AC158&lt;=0,0,MIN(AC158,N('Min gæld'!$E$11)+AB158))</f>
        <v>0</v>
      </c>
      <c r="AE158" s="27" t="n">
        <f aca="false">IF(AC158-AD158&lt;0.005,0,AC158-AD158)</f>
        <v>0</v>
      </c>
      <c r="AF158" s="27" t="n">
        <f aca="false">MAX(0,IF(N(AE157)&lt;=0.005,AB158,AB158+N('Min gæld'!$E$11)-AD158))</f>
        <v>4800</v>
      </c>
      <c r="AG158" s="27" t="n">
        <f aca="false">IF(N(AI157)&lt;=0.005,0,N(AI157)*(1+N('Min gæld'!$D$12)/12))</f>
        <v>0</v>
      </c>
      <c r="AH158" s="27" t="n">
        <f aca="false">IF(AG158&lt;=0,0,MIN(AG158,N('Min gæld'!$E$12)+AF158))</f>
        <v>0</v>
      </c>
      <c r="AI158" s="27" t="n">
        <f aca="false">IF(AG158-AH158&lt;0.005,0,AG158-AH158)</f>
        <v>0</v>
      </c>
      <c r="AJ158" s="27" t="n">
        <f aca="false">G158+K158+O158+S158+W158+AA158+AE158+AI158</f>
        <v>0</v>
      </c>
      <c r="AK158" s="28" t="n">
        <f aca="false">IF(E158&gt;0,E158-N(G157),0)+IF(I158&gt;0,I158-N(K157),0)+IF(M158&gt;0,M158-N(O157),0)+IF(Q158&gt;0,Q158-N(S157),0)+IF(U158&gt;0,U158-N(W157),0)+IF(Y158&gt;0,Y158-N(AA157),0)+IF(AC158&gt;0,AC158-N(AE157),0)+IF(AG158&gt;0,AG158-N(AI157),0)</f>
        <v>0</v>
      </c>
    </row>
    <row r="159" customFormat="false" ht="15" hidden="false" customHeight="false" outlineLevel="0" collapsed="false">
      <c r="A159" s="25" t="n">
        <v>154</v>
      </c>
      <c r="B159" s="26" t="n">
        <f aca="false">EDATE('Min gæld'!$C$16,153)</f>
        <v>51044</v>
      </c>
      <c r="C159" s="27" t="n">
        <f aca="false">N('Min gæld'!$C$15)+IF(N(G158)&lt;=0.005,N('Min gæld'!$E$5),0)+IF(N(K158)&lt;=0.005,N('Min gæld'!$E$6),0)+IF(N(O158)&lt;=0.005,N('Min gæld'!$E$7),0)+IF(N(S158)&lt;=0.005,N('Min gæld'!$E$8),0)+IF(N(W158)&lt;=0.005,N('Min gæld'!$E$9),0)+IF(N(AA158)&lt;=0.005,N('Min gæld'!$E$10),0)+IF(N(AE158)&lt;=0.005,N('Min gæld'!$E$11),0)+IF(N(AI158)&lt;=0.005,N('Min gæld'!$E$12),0)</f>
        <v>4800</v>
      </c>
      <c r="D159" s="27" t="n">
        <f aca="false">MAX(0,C159)</f>
        <v>4800</v>
      </c>
      <c r="E159" s="27" t="n">
        <f aca="false">IF(N(G158)&lt;=0.005,0,N(G158)*(1+N('Min gæld'!$D$5)/12))</f>
        <v>0</v>
      </c>
      <c r="F159" s="27" t="n">
        <f aca="false">IF(E159&lt;=0,0,MIN(E159,N('Min gæld'!$E$5)+D159))</f>
        <v>0</v>
      </c>
      <c r="G159" s="27" t="n">
        <f aca="false">IF(E159-F159&lt;0.005,0,E159-F159)</f>
        <v>0</v>
      </c>
      <c r="H159" s="27" t="n">
        <f aca="false">MAX(0,IF(N(G158)&lt;=0.005,D159,D159+N('Min gæld'!$E$5)-F159))</f>
        <v>4800</v>
      </c>
      <c r="I159" s="27" t="n">
        <f aca="false">IF(N(K158)&lt;=0.005,0,N(K158)*(1+N('Min gæld'!$D$6)/12))</f>
        <v>0</v>
      </c>
      <c r="J159" s="27" t="n">
        <f aca="false">IF(I159&lt;=0,0,MIN(I159,N('Min gæld'!$E$6)+H159))</f>
        <v>0</v>
      </c>
      <c r="K159" s="27" t="n">
        <f aca="false">IF(I159-J159&lt;0.005,0,I159-J159)</f>
        <v>0</v>
      </c>
      <c r="L159" s="27" t="n">
        <f aca="false">MAX(0,IF(N(K158)&lt;=0.005,H159,H159+N('Min gæld'!$E$6)-J159))</f>
        <v>4800</v>
      </c>
      <c r="M159" s="27" t="n">
        <f aca="false">IF(N(O158)&lt;=0.005,0,N(O158)*(1+N('Min gæld'!$D$7)/12))</f>
        <v>0</v>
      </c>
      <c r="N159" s="27" t="n">
        <f aca="false">IF(M159&lt;=0,0,MIN(M159,N('Min gæld'!$E$7)+L159))</f>
        <v>0</v>
      </c>
      <c r="O159" s="27" t="n">
        <f aca="false">IF(M159-N159&lt;0.005,0,M159-N159)</f>
        <v>0</v>
      </c>
      <c r="P159" s="27" t="n">
        <f aca="false">MAX(0,IF(N(O158)&lt;=0.005,L159,L159+N('Min gæld'!$E$7)-N159))</f>
        <v>4800</v>
      </c>
      <c r="Q159" s="27" t="n">
        <f aca="false">IF(N(S158)&lt;=0.005,0,N(S158)*(1+N('Min gæld'!$D$8)/12))</f>
        <v>0</v>
      </c>
      <c r="R159" s="27" t="n">
        <f aca="false">IF(Q159&lt;=0,0,MIN(Q159,N('Min gæld'!$E$8)+P159))</f>
        <v>0</v>
      </c>
      <c r="S159" s="27" t="n">
        <f aca="false">IF(Q159-R159&lt;0.005,0,Q159-R159)</f>
        <v>0</v>
      </c>
      <c r="T159" s="27" t="n">
        <f aca="false">MAX(0,IF(N(S158)&lt;=0.005,P159,P159+N('Min gæld'!$E$8)-R159))</f>
        <v>4800</v>
      </c>
      <c r="U159" s="27" t="n">
        <f aca="false">IF(N(W158)&lt;=0.005,0,N(W158)*(1+N('Min gæld'!$D$9)/12))</f>
        <v>0</v>
      </c>
      <c r="V159" s="27" t="n">
        <f aca="false">IF(U159&lt;=0,0,MIN(U159,N('Min gæld'!$E$9)+T159))</f>
        <v>0</v>
      </c>
      <c r="W159" s="27" t="n">
        <f aca="false">IF(U159-V159&lt;0.005,0,U159-V159)</f>
        <v>0</v>
      </c>
      <c r="X159" s="27" t="n">
        <f aca="false">MAX(0,IF(N(W158)&lt;=0.005,T159,T159+N('Min gæld'!$E$9)-V159))</f>
        <v>4800</v>
      </c>
      <c r="Y159" s="27" t="n">
        <f aca="false">IF(N(AA158)&lt;=0.005,0,N(AA158)*(1+N('Min gæld'!$D$10)/12))</f>
        <v>0</v>
      </c>
      <c r="Z159" s="27" t="n">
        <f aca="false">IF(Y159&lt;=0,0,MIN(Y159,N('Min gæld'!$E$10)+X159))</f>
        <v>0</v>
      </c>
      <c r="AA159" s="27" t="n">
        <f aca="false">IF(Y159-Z159&lt;0.005,0,Y159-Z159)</f>
        <v>0</v>
      </c>
      <c r="AB159" s="27" t="n">
        <f aca="false">MAX(0,IF(N(AA158)&lt;=0.005,X159,X159+N('Min gæld'!$E$10)-Z159))</f>
        <v>4800</v>
      </c>
      <c r="AC159" s="27" t="n">
        <f aca="false">IF(N(AE158)&lt;=0.005,0,N(AE158)*(1+N('Min gæld'!$D$11)/12))</f>
        <v>0</v>
      </c>
      <c r="AD159" s="27" t="n">
        <f aca="false">IF(AC159&lt;=0,0,MIN(AC159,N('Min gæld'!$E$11)+AB159))</f>
        <v>0</v>
      </c>
      <c r="AE159" s="27" t="n">
        <f aca="false">IF(AC159-AD159&lt;0.005,0,AC159-AD159)</f>
        <v>0</v>
      </c>
      <c r="AF159" s="27" t="n">
        <f aca="false">MAX(0,IF(N(AE158)&lt;=0.005,AB159,AB159+N('Min gæld'!$E$11)-AD159))</f>
        <v>4800</v>
      </c>
      <c r="AG159" s="27" t="n">
        <f aca="false">IF(N(AI158)&lt;=0.005,0,N(AI158)*(1+N('Min gæld'!$D$12)/12))</f>
        <v>0</v>
      </c>
      <c r="AH159" s="27" t="n">
        <f aca="false">IF(AG159&lt;=0,0,MIN(AG159,N('Min gæld'!$E$12)+AF159))</f>
        <v>0</v>
      </c>
      <c r="AI159" s="27" t="n">
        <f aca="false">IF(AG159-AH159&lt;0.005,0,AG159-AH159)</f>
        <v>0</v>
      </c>
      <c r="AJ159" s="27" t="n">
        <f aca="false">G159+K159+O159+S159+W159+AA159+AE159+AI159</f>
        <v>0</v>
      </c>
      <c r="AK159" s="28" t="n">
        <f aca="false">IF(E159&gt;0,E159-N(G158),0)+IF(I159&gt;0,I159-N(K158),0)+IF(M159&gt;0,M159-N(O158),0)+IF(Q159&gt;0,Q159-N(S158),0)+IF(U159&gt;0,U159-N(W158),0)+IF(Y159&gt;0,Y159-N(AA158),0)+IF(AC159&gt;0,AC159-N(AE158),0)+IF(AG159&gt;0,AG159-N(AI158),0)</f>
        <v>0</v>
      </c>
    </row>
    <row r="160" customFormat="false" ht="15" hidden="false" customHeight="false" outlineLevel="0" collapsed="false">
      <c r="A160" s="25" t="n">
        <v>155</v>
      </c>
      <c r="B160" s="26" t="n">
        <f aca="false">EDATE('Min gæld'!$C$16,154)</f>
        <v>51075</v>
      </c>
      <c r="C160" s="27" t="n">
        <f aca="false">N('Min gæld'!$C$15)+IF(N(G159)&lt;=0.005,N('Min gæld'!$E$5),0)+IF(N(K159)&lt;=0.005,N('Min gæld'!$E$6),0)+IF(N(O159)&lt;=0.005,N('Min gæld'!$E$7),0)+IF(N(S159)&lt;=0.005,N('Min gæld'!$E$8),0)+IF(N(W159)&lt;=0.005,N('Min gæld'!$E$9),0)+IF(N(AA159)&lt;=0.005,N('Min gæld'!$E$10),0)+IF(N(AE159)&lt;=0.005,N('Min gæld'!$E$11),0)+IF(N(AI159)&lt;=0.005,N('Min gæld'!$E$12),0)</f>
        <v>4800</v>
      </c>
      <c r="D160" s="27" t="n">
        <f aca="false">MAX(0,C160)</f>
        <v>4800</v>
      </c>
      <c r="E160" s="27" t="n">
        <f aca="false">IF(N(G159)&lt;=0.005,0,N(G159)*(1+N('Min gæld'!$D$5)/12))</f>
        <v>0</v>
      </c>
      <c r="F160" s="27" t="n">
        <f aca="false">IF(E160&lt;=0,0,MIN(E160,N('Min gæld'!$E$5)+D160))</f>
        <v>0</v>
      </c>
      <c r="G160" s="27" t="n">
        <f aca="false">IF(E160-F160&lt;0.005,0,E160-F160)</f>
        <v>0</v>
      </c>
      <c r="H160" s="27" t="n">
        <f aca="false">MAX(0,IF(N(G159)&lt;=0.005,D160,D160+N('Min gæld'!$E$5)-F160))</f>
        <v>4800</v>
      </c>
      <c r="I160" s="27" t="n">
        <f aca="false">IF(N(K159)&lt;=0.005,0,N(K159)*(1+N('Min gæld'!$D$6)/12))</f>
        <v>0</v>
      </c>
      <c r="J160" s="27" t="n">
        <f aca="false">IF(I160&lt;=0,0,MIN(I160,N('Min gæld'!$E$6)+H160))</f>
        <v>0</v>
      </c>
      <c r="K160" s="27" t="n">
        <f aca="false">IF(I160-J160&lt;0.005,0,I160-J160)</f>
        <v>0</v>
      </c>
      <c r="L160" s="27" t="n">
        <f aca="false">MAX(0,IF(N(K159)&lt;=0.005,H160,H160+N('Min gæld'!$E$6)-J160))</f>
        <v>4800</v>
      </c>
      <c r="M160" s="27" t="n">
        <f aca="false">IF(N(O159)&lt;=0.005,0,N(O159)*(1+N('Min gæld'!$D$7)/12))</f>
        <v>0</v>
      </c>
      <c r="N160" s="27" t="n">
        <f aca="false">IF(M160&lt;=0,0,MIN(M160,N('Min gæld'!$E$7)+L160))</f>
        <v>0</v>
      </c>
      <c r="O160" s="27" t="n">
        <f aca="false">IF(M160-N160&lt;0.005,0,M160-N160)</f>
        <v>0</v>
      </c>
      <c r="P160" s="27" t="n">
        <f aca="false">MAX(0,IF(N(O159)&lt;=0.005,L160,L160+N('Min gæld'!$E$7)-N160))</f>
        <v>4800</v>
      </c>
      <c r="Q160" s="27" t="n">
        <f aca="false">IF(N(S159)&lt;=0.005,0,N(S159)*(1+N('Min gæld'!$D$8)/12))</f>
        <v>0</v>
      </c>
      <c r="R160" s="27" t="n">
        <f aca="false">IF(Q160&lt;=0,0,MIN(Q160,N('Min gæld'!$E$8)+P160))</f>
        <v>0</v>
      </c>
      <c r="S160" s="27" t="n">
        <f aca="false">IF(Q160-R160&lt;0.005,0,Q160-R160)</f>
        <v>0</v>
      </c>
      <c r="T160" s="27" t="n">
        <f aca="false">MAX(0,IF(N(S159)&lt;=0.005,P160,P160+N('Min gæld'!$E$8)-R160))</f>
        <v>4800</v>
      </c>
      <c r="U160" s="27" t="n">
        <f aca="false">IF(N(W159)&lt;=0.005,0,N(W159)*(1+N('Min gæld'!$D$9)/12))</f>
        <v>0</v>
      </c>
      <c r="V160" s="27" t="n">
        <f aca="false">IF(U160&lt;=0,0,MIN(U160,N('Min gæld'!$E$9)+T160))</f>
        <v>0</v>
      </c>
      <c r="W160" s="27" t="n">
        <f aca="false">IF(U160-V160&lt;0.005,0,U160-V160)</f>
        <v>0</v>
      </c>
      <c r="X160" s="27" t="n">
        <f aca="false">MAX(0,IF(N(W159)&lt;=0.005,T160,T160+N('Min gæld'!$E$9)-V160))</f>
        <v>4800</v>
      </c>
      <c r="Y160" s="27" t="n">
        <f aca="false">IF(N(AA159)&lt;=0.005,0,N(AA159)*(1+N('Min gæld'!$D$10)/12))</f>
        <v>0</v>
      </c>
      <c r="Z160" s="27" t="n">
        <f aca="false">IF(Y160&lt;=0,0,MIN(Y160,N('Min gæld'!$E$10)+X160))</f>
        <v>0</v>
      </c>
      <c r="AA160" s="27" t="n">
        <f aca="false">IF(Y160-Z160&lt;0.005,0,Y160-Z160)</f>
        <v>0</v>
      </c>
      <c r="AB160" s="27" t="n">
        <f aca="false">MAX(0,IF(N(AA159)&lt;=0.005,X160,X160+N('Min gæld'!$E$10)-Z160))</f>
        <v>4800</v>
      </c>
      <c r="AC160" s="27" t="n">
        <f aca="false">IF(N(AE159)&lt;=0.005,0,N(AE159)*(1+N('Min gæld'!$D$11)/12))</f>
        <v>0</v>
      </c>
      <c r="AD160" s="27" t="n">
        <f aca="false">IF(AC160&lt;=0,0,MIN(AC160,N('Min gæld'!$E$11)+AB160))</f>
        <v>0</v>
      </c>
      <c r="AE160" s="27" t="n">
        <f aca="false">IF(AC160-AD160&lt;0.005,0,AC160-AD160)</f>
        <v>0</v>
      </c>
      <c r="AF160" s="27" t="n">
        <f aca="false">MAX(0,IF(N(AE159)&lt;=0.005,AB160,AB160+N('Min gæld'!$E$11)-AD160))</f>
        <v>4800</v>
      </c>
      <c r="AG160" s="27" t="n">
        <f aca="false">IF(N(AI159)&lt;=0.005,0,N(AI159)*(1+N('Min gæld'!$D$12)/12))</f>
        <v>0</v>
      </c>
      <c r="AH160" s="27" t="n">
        <f aca="false">IF(AG160&lt;=0,0,MIN(AG160,N('Min gæld'!$E$12)+AF160))</f>
        <v>0</v>
      </c>
      <c r="AI160" s="27" t="n">
        <f aca="false">IF(AG160-AH160&lt;0.005,0,AG160-AH160)</f>
        <v>0</v>
      </c>
      <c r="AJ160" s="27" t="n">
        <f aca="false">G160+K160+O160+S160+W160+AA160+AE160+AI160</f>
        <v>0</v>
      </c>
      <c r="AK160" s="28" t="n">
        <f aca="false">IF(E160&gt;0,E160-N(G159),0)+IF(I160&gt;0,I160-N(K159),0)+IF(M160&gt;0,M160-N(O159),0)+IF(Q160&gt;0,Q160-N(S159),0)+IF(U160&gt;0,U160-N(W159),0)+IF(Y160&gt;0,Y160-N(AA159),0)+IF(AC160&gt;0,AC160-N(AE159),0)+IF(AG160&gt;0,AG160-N(AI159),0)</f>
        <v>0</v>
      </c>
    </row>
    <row r="161" customFormat="false" ht="15" hidden="false" customHeight="false" outlineLevel="0" collapsed="false">
      <c r="A161" s="25" t="n">
        <v>156</v>
      </c>
      <c r="B161" s="26" t="n">
        <f aca="false">EDATE('Min gæld'!$C$16,155)</f>
        <v>51105</v>
      </c>
      <c r="C161" s="27" t="n">
        <f aca="false">N('Min gæld'!$C$15)+IF(N(G160)&lt;=0.005,N('Min gæld'!$E$5),0)+IF(N(K160)&lt;=0.005,N('Min gæld'!$E$6),0)+IF(N(O160)&lt;=0.005,N('Min gæld'!$E$7),0)+IF(N(S160)&lt;=0.005,N('Min gæld'!$E$8),0)+IF(N(W160)&lt;=0.005,N('Min gæld'!$E$9),0)+IF(N(AA160)&lt;=0.005,N('Min gæld'!$E$10),0)+IF(N(AE160)&lt;=0.005,N('Min gæld'!$E$11),0)+IF(N(AI160)&lt;=0.005,N('Min gæld'!$E$12),0)</f>
        <v>4800</v>
      </c>
      <c r="D161" s="27" t="n">
        <f aca="false">MAX(0,C161)</f>
        <v>4800</v>
      </c>
      <c r="E161" s="27" t="n">
        <f aca="false">IF(N(G160)&lt;=0.005,0,N(G160)*(1+N('Min gæld'!$D$5)/12))</f>
        <v>0</v>
      </c>
      <c r="F161" s="27" t="n">
        <f aca="false">IF(E161&lt;=0,0,MIN(E161,N('Min gæld'!$E$5)+D161))</f>
        <v>0</v>
      </c>
      <c r="G161" s="27" t="n">
        <f aca="false">IF(E161-F161&lt;0.005,0,E161-F161)</f>
        <v>0</v>
      </c>
      <c r="H161" s="27" t="n">
        <f aca="false">MAX(0,IF(N(G160)&lt;=0.005,D161,D161+N('Min gæld'!$E$5)-F161))</f>
        <v>4800</v>
      </c>
      <c r="I161" s="27" t="n">
        <f aca="false">IF(N(K160)&lt;=0.005,0,N(K160)*(1+N('Min gæld'!$D$6)/12))</f>
        <v>0</v>
      </c>
      <c r="J161" s="27" t="n">
        <f aca="false">IF(I161&lt;=0,0,MIN(I161,N('Min gæld'!$E$6)+H161))</f>
        <v>0</v>
      </c>
      <c r="K161" s="27" t="n">
        <f aca="false">IF(I161-J161&lt;0.005,0,I161-J161)</f>
        <v>0</v>
      </c>
      <c r="L161" s="27" t="n">
        <f aca="false">MAX(0,IF(N(K160)&lt;=0.005,H161,H161+N('Min gæld'!$E$6)-J161))</f>
        <v>4800</v>
      </c>
      <c r="M161" s="27" t="n">
        <f aca="false">IF(N(O160)&lt;=0.005,0,N(O160)*(1+N('Min gæld'!$D$7)/12))</f>
        <v>0</v>
      </c>
      <c r="N161" s="27" t="n">
        <f aca="false">IF(M161&lt;=0,0,MIN(M161,N('Min gæld'!$E$7)+L161))</f>
        <v>0</v>
      </c>
      <c r="O161" s="27" t="n">
        <f aca="false">IF(M161-N161&lt;0.005,0,M161-N161)</f>
        <v>0</v>
      </c>
      <c r="P161" s="27" t="n">
        <f aca="false">MAX(0,IF(N(O160)&lt;=0.005,L161,L161+N('Min gæld'!$E$7)-N161))</f>
        <v>4800</v>
      </c>
      <c r="Q161" s="27" t="n">
        <f aca="false">IF(N(S160)&lt;=0.005,0,N(S160)*(1+N('Min gæld'!$D$8)/12))</f>
        <v>0</v>
      </c>
      <c r="R161" s="27" t="n">
        <f aca="false">IF(Q161&lt;=0,0,MIN(Q161,N('Min gæld'!$E$8)+P161))</f>
        <v>0</v>
      </c>
      <c r="S161" s="27" t="n">
        <f aca="false">IF(Q161-R161&lt;0.005,0,Q161-R161)</f>
        <v>0</v>
      </c>
      <c r="T161" s="27" t="n">
        <f aca="false">MAX(0,IF(N(S160)&lt;=0.005,P161,P161+N('Min gæld'!$E$8)-R161))</f>
        <v>4800</v>
      </c>
      <c r="U161" s="27" t="n">
        <f aca="false">IF(N(W160)&lt;=0.005,0,N(W160)*(1+N('Min gæld'!$D$9)/12))</f>
        <v>0</v>
      </c>
      <c r="V161" s="27" t="n">
        <f aca="false">IF(U161&lt;=0,0,MIN(U161,N('Min gæld'!$E$9)+T161))</f>
        <v>0</v>
      </c>
      <c r="W161" s="27" t="n">
        <f aca="false">IF(U161-V161&lt;0.005,0,U161-V161)</f>
        <v>0</v>
      </c>
      <c r="X161" s="27" t="n">
        <f aca="false">MAX(0,IF(N(W160)&lt;=0.005,T161,T161+N('Min gæld'!$E$9)-V161))</f>
        <v>4800</v>
      </c>
      <c r="Y161" s="27" t="n">
        <f aca="false">IF(N(AA160)&lt;=0.005,0,N(AA160)*(1+N('Min gæld'!$D$10)/12))</f>
        <v>0</v>
      </c>
      <c r="Z161" s="27" t="n">
        <f aca="false">IF(Y161&lt;=0,0,MIN(Y161,N('Min gæld'!$E$10)+X161))</f>
        <v>0</v>
      </c>
      <c r="AA161" s="27" t="n">
        <f aca="false">IF(Y161-Z161&lt;0.005,0,Y161-Z161)</f>
        <v>0</v>
      </c>
      <c r="AB161" s="27" t="n">
        <f aca="false">MAX(0,IF(N(AA160)&lt;=0.005,X161,X161+N('Min gæld'!$E$10)-Z161))</f>
        <v>4800</v>
      </c>
      <c r="AC161" s="27" t="n">
        <f aca="false">IF(N(AE160)&lt;=0.005,0,N(AE160)*(1+N('Min gæld'!$D$11)/12))</f>
        <v>0</v>
      </c>
      <c r="AD161" s="27" t="n">
        <f aca="false">IF(AC161&lt;=0,0,MIN(AC161,N('Min gæld'!$E$11)+AB161))</f>
        <v>0</v>
      </c>
      <c r="AE161" s="27" t="n">
        <f aca="false">IF(AC161-AD161&lt;0.005,0,AC161-AD161)</f>
        <v>0</v>
      </c>
      <c r="AF161" s="27" t="n">
        <f aca="false">MAX(0,IF(N(AE160)&lt;=0.005,AB161,AB161+N('Min gæld'!$E$11)-AD161))</f>
        <v>4800</v>
      </c>
      <c r="AG161" s="27" t="n">
        <f aca="false">IF(N(AI160)&lt;=0.005,0,N(AI160)*(1+N('Min gæld'!$D$12)/12))</f>
        <v>0</v>
      </c>
      <c r="AH161" s="27" t="n">
        <f aca="false">IF(AG161&lt;=0,0,MIN(AG161,N('Min gæld'!$E$12)+AF161))</f>
        <v>0</v>
      </c>
      <c r="AI161" s="27" t="n">
        <f aca="false">IF(AG161-AH161&lt;0.005,0,AG161-AH161)</f>
        <v>0</v>
      </c>
      <c r="AJ161" s="27" t="n">
        <f aca="false">G161+K161+O161+S161+W161+AA161+AE161+AI161</f>
        <v>0</v>
      </c>
      <c r="AK161" s="28" t="n">
        <f aca="false">IF(E161&gt;0,E161-N(G160),0)+IF(I161&gt;0,I161-N(K160),0)+IF(M161&gt;0,M161-N(O160),0)+IF(Q161&gt;0,Q161-N(S160),0)+IF(U161&gt;0,U161-N(W160),0)+IF(Y161&gt;0,Y161-N(AA160),0)+IF(AC161&gt;0,AC161-N(AE160),0)+IF(AG161&gt;0,AG161-N(AI160),0)</f>
        <v>0</v>
      </c>
    </row>
    <row r="162" customFormat="false" ht="15" hidden="false" customHeight="false" outlineLevel="0" collapsed="false">
      <c r="A162" s="25" t="n">
        <v>157</v>
      </c>
      <c r="B162" s="26" t="n">
        <f aca="false">EDATE('Min gæld'!$C$16,156)</f>
        <v>51136</v>
      </c>
      <c r="C162" s="27" t="n">
        <f aca="false">N('Min gæld'!$C$15)+IF(N(G161)&lt;=0.005,N('Min gæld'!$E$5),0)+IF(N(K161)&lt;=0.005,N('Min gæld'!$E$6),0)+IF(N(O161)&lt;=0.005,N('Min gæld'!$E$7),0)+IF(N(S161)&lt;=0.005,N('Min gæld'!$E$8),0)+IF(N(W161)&lt;=0.005,N('Min gæld'!$E$9),0)+IF(N(AA161)&lt;=0.005,N('Min gæld'!$E$10),0)+IF(N(AE161)&lt;=0.005,N('Min gæld'!$E$11),0)+IF(N(AI161)&lt;=0.005,N('Min gæld'!$E$12),0)</f>
        <v>4800</v>
      </c>
      <c r="D162" s="27" t="n">
        <f aca="false">MAX(0,C162)</f>
        <v>4800</v>
      </c>
      <c r="E162" s="27" t="n">
        <f aca="false">IF(N(G161)&lt;=0.005,0,N(G161)*(1+N('Min gæld'!$D$5)/12))</f>
        <v>0</v>
      </c>
      <c r="F162" s="27" t="n">
        <f aca="false">IF(E162&lt;=0,0,MIN(E162,N('Min gæld'!$E$5)+D162))</f>
        <v>0</v>
      </c>
      <c r="G162" s="27" t="n">
        <f aca="false">IF(E162-F162&lt;0.005,0,E162-F162)</f>
        <v>0</v>
      </c>
      <c r="H162" s="27" t="n">
        <f aca="false">MAX(0,IF(N(G161)&lt;=0.005,D162,D162+N('Min gæld'!$E$5)-F162))</f>
        <v>4800</v>
      </c>
      <c r="I162" s="27" t="n">
        <f aca="false">IF(N(K161)&lt;=0.005,0,N(K161)*(1+N('Min gæld'!$D$6)/12))</f>
        <v>0</v>
      </c>
      <c r="J162" s="27" t="n">
        <f aca="false">IF(I162&lt;=0,0,MIN(I162,N('Min gæld'!$E$6)+H162))</f>
        <v>0</v>
      </c>
      <c r="K162" s="27" t="n">
        <f aca="false">IF(I162-J162&lt;0.005,0,I162-J162)</f>
        <v>0</v>
      </c>
      <c r="L162" s="27" t="n">
        <f aca="false">MAX(0,IF(N(K161)&lt;=0.005,H162,H162+N('Min gæld'!$E$6)-J162))</f>
        <v>4800</v>
      </c>
      <c r="M162" s="27" t="n">
        <f aca="false">IF(N(O161)&lt;=0.005,0,N(O161)*(1+N('Min gæld'!$D$7)/12))</f>
        <v>0</v>
      </c>
      <c r="N162" s="27" t="n">
        <f aca="false">IF(M162&lt;=0,0,MIN(M162,N('Min gæld'!$E$7)+L162))</f>
        <v>0</v>
      </c>
      <c r="O162" s="27" t="n">
        <f aca="false">IF(M162-N162&lt;0.005,0,M162-N162)</f>
        <v>0</v>
      </c>
      <c r="P162" s="27" t="n">
        <f aca="false">MAX(0,IF(N(O161)&lt;=0.005,L162,L162+N('Min gæld'!$E$7)-N162))</f>
        <v>4800</v>
      </c>
      <c r="Q162" s="27" t="n">
        <f aca="false">IF(N(S161)&lt;=0.005,0,N(S161)*(1+N('Min gæld'!$D$8)/12))</f>
        <v>0</v>
      </c>
      <c r="R162" s="27" t="n">
        <f aca="false">IF(Q162&lt;=0,0,MIN(Q162,N('Min gæld'!$E$8)+P162))</f>
        <v>0</v>
      </c>
      <c r="S162" s="27" t="n">
        <f aca="false">IF(Q162-R162&lt;0.005,0,Q162-R162)</f>
        <v>0</v>
      </c>
      <c r="T162" s="27" t="n">
        <f aca="false">MAX(0,IF(N(S161)&lt;=0.005,P162,P162+N('Min gæld'!$E$8)-R162))</f>
        <v>4800</v>
      </c>
      <c r="U162" s="27" t="n">
        <f aca="false">IF(N(W161)&lt;=0.005,0,N(W161)*(1+N('Min gæld'!$D$9)/12))</f>
        <v>0</v>
      </c>
      <c r="V162" s="27" t="n">
        <f aca="false">IF(U162&lt;=0,0,MIN(U162,N('Min gæld'!$E$9)+T162))</f>
        <v>0</v>
      </c>
      <c r="W162" s="27" t="n">
        <f aca="false">IF(U162-V162&lt;0.005,0,U162-V162)</f>
        <v>0</v>
      </c>
      <c r="X162" s="27" t="n">
        <f aca="false">MAX(0,IF(N(W161)&lt;=0.005,T162,T162+N('Min gæld'!$E$9)-V162))</f>
        <v>4800</v>
      </c>
      <c r="Y162" s="27" t="n">
        <f aca="false">IF(N(AA161)&lt;=0.005,0,N(AA161)*(1+N('Min gæld'!$D$10)/12))</f>
        <v>0</v>
      </c>
      <c r="Z162" s="27" t="n">
        <f aca="false">IF(Y162&lt;=0,0,MIN(Y162,N('Min gæld'!$E$10)+X162))</f>
        <v>0</v>
      </c>
      <c r="AA162" s="27" t="n">
        <f aca="false">IF(Y162-Z162&lt;0.005,0,Y162-Z162)</f>
        <v>0</v>
      </c>
      <c r="AB162" s="27" t="n">
        <f aca="false">MAX(0,IF(N(AA161)&lt;=0.005,X162,X162+N('Min gæld'!$E$10)-Z162))</f>
        <v>4800</v>
      </c>
      <c r="AC162" s="27" t="n">
        <f aca="false">IF(N(AE161)&lt;=0.005,0,N(AE161)*(1+N('Min gæld'!$D$11)/12))</f>
        <v>0</v>
      </c>
      <c r="AD162" s="27" t="n">
        <f aca="false">IF(AC162&lt;=0,0,MIN(AC162,N('Min gæld'!$E$11)+AB162))</f>
        <v>0</v>
      </c>
      <c r="AE162" s="27" t="n">
        <f aca="false">IF(AC162-AD162&lt;0.005,0,AC162-AD162)</f>
        <v>0</v>
      </c>
      <c r="AF162" s="27" t="n">
        <f aca="false">MAX(0,IF(N(AE161)&lt;=0.005,AB162,AB162+N('Min gæld'!$E$11)-AD162))</f>
        <v>4800</v>
      </c>
      <c r="AG162" s="27" t="n">
        <f aca="false">IF(N(AI161)&lt;=0.005,0,N(AI161)*(1+N('Min gæld'!$D$12)/12))</f>
        <v>0</v>
      </c>
      <c r="AH162" s="27" t="n">
        <f aca="false">IF(AG162&lt;=0,0,MIN(AG162,N('Min gæld'!$E$12)+AF162))</f>
        <v>0</v>
      </c>
      <c r="AI162" s="27" t="n">
        <f aca="false">IF(AG162-AH162&lt;0.005,0,AG162-AH162)</f>
        <v>0</v>
      </c>
      <c r="AJ162" s="27" t="n">
        <f aca="false">G162+K162+O162+S162+W162+AA162+AE162+AI162</f>
        <v>0</v>
      </c>
      <c r="AK162" s="28" t="n">
        <f aca="false">IF(E162&gt;0,E162-N(G161),0)+IF(I162&gt;0,I162-N(K161),0)+IF(M162&gt;0,M162-N(O161),0)+IF(Q162&gt;0,Q162-N(S161),0)+IF(U162&gt;0,U162-N(W161),0)+IF(Y162&gt;0,Y162-N(AA161),0)+IF(AC162&gt;0,AC162-N(AE161),0)+IF(AG162&gt;0,AG162-N(AI161),0)</f>
        <v>0</v>
      </c>
    </row>
    <row r="163" customFormat="false" ht="15" hidden="false" customHeight="false" outlineLevel="0" collapsed="false">
      <c r="A163" s="25" t="n">
        <v>158</v>
      </c>
      <c r="B163" s="26" t="n">
        <f aca="false">EDATE('Min gæld'!$C$16,157)</f>
        <v>51167</v>
      </c>
      <c r="C163" s="27" t="n">
        <f aca="false">N('Min gæld'!$C$15)+IF(N(G162)&lt;=0.005,N('Min gæld'!$E$5),0)+IF(N(K162)&lt;=0.005,N('Min gæld'!$E$6),0)+IF(N(O162)&lt;=0.005,N('Min gæld'!$E$7),0)+IF(N(S162)&lt;=0.005,N('Min gæld'!$E$8),0)+IF(N(W162)&lt;=0.005,N('Min gæld'!$E$9),0)+IF(N(AA162)&lt;=0.005,N('Min gæld'!$E$10),0)+IF(N(AE162)&lt;=0.005,N('Min gæld'!$E$11),0)+IF(N(AI162)&lt;=0.005,N('Min gæld'!$E$12),0)</f>
        <v>4800</v>
      </c>
      <c r="D163" s="27" t="n">
        <f aca="false">MAX(0,C163)</f>
        <v>4800</v>
      </c>
      <c r="E163" s="27" t="n">
        <f aca="false">IF(N(G162)&lt;=0.005,0,N(G162)*(1+N('Min gæld'!$D$5)/12))</f>
        <v>0</v>
      </c>
      <c r="F163" s="27" t="n">
        <f aca="false">IF(E163&lt;=0,0,MIN(E163,N('Min gæld'!$E$5)+D163))</f>
        <v>0</v>
      </c>
      <c r="G163" s="27" t="n">
        <f aca="false">IF(E163-F163&lt;0.005,0,E163-F163)</f>
        <v>0</v>
      </c>
      <c r="H163" s="27" t="n">
        <f aca="false">MAX(0,IF(N(G162)&lt;=0.005,D163,D163+N('Min gæld'!$E$5)-F163))</f>
        <v>4800</v>
      </c>
      <c r="I163" s="27" t="n">
        <f aca="false">IF(N(K162)&lt;=0.005,0,N(K162)*(1+N('Min gæld'!$D$6)/12))</f>
        <v>0</v>
      </c>
      <c r="J163" s="27" t="n">
        <f aca="false">IF(I163&lt;=0,0,MIN(I163,N('Min gæld'!$E$6)+H163))</f>
        <v>0</v>
      </c>
      <c r="K163" s="27" t="n">
        <f aca="false">IF(I163-J163&lt;0.005,0,I163-J163)</f>
        <v>0</v>
      </c>
      <c r="L163" s="27" t="n">
        <f aca="false">MAX(0,IF(N(K162)&lt;=0.005,H163,H163+N('Min gæld'!$E$6)-J163))</f>
        <v>4800</v>
      </c>
      <c r="M163" s="27" t="n">
        <f aca="false">IF(N(O162)&lt;=0.005,0,N(O162)*(1+N('Min gæld'!$D$7)/12))</f>
        <v>0</v>
      </c>
      <c r="N163" s="27" t="n">
        <f aca="false">IF(M163&lt;=0,0,MIN(M163,N('Min gæld'!$E$7)+L163))</f>
        <v>0</v>
      </c>
      <c r="O163" s="27" t="n">
        <f aca="false">IF(M163-N163&lt;0.005,0,M163-N163)</f>
        <v>0</v>
      </c>
      <c r="P163" s="27" t="n">
        <f aca="false">MAX(0,IF(N(O162)&lt;=0.005,L163,L163+N('Min gæld'!$E$7)-N163))</f>
        <v>4800</v>
      </c>
      <c r="Q163" s="27" t="n">
        <f aca="false">IF(N(S162)&lt;=0.005,0,N(S162)*(1+N('Min gæld'!$D$8)/12))</f>
        <v>0</v>
      </c>
      <c r="R163" s="27" t="n">
        <f aca="false">IF(Q163&lt;=0,0,MIN(Q163,N('Min gæld'!$E$8)+P163))</f>
        <v>0</v>
      </c>
      <c r="S163" s="27" t="n">
        <f aca="false">IF(Q163-R163&lt;0.005,0,Q163-R163)</f>
        <v>0</v>
      </c>
      <c r="T163" s="27" t="n">
        <f aca="false">MAX(0,IF(N(S162)&lt;=0.005,P163,P163+N('Min gæld'!$E$8)-R163))</f>
        <v>4800</v>
      </c>
      <c r="U163" s="27" t="n">
        <f aca="false">IF(N(W162)&lt;=0.005,0,N(W162)*(1+N('Min gæld'!$D$9)/12))</f>
        <v>0</v>
      </c>
      <c r="V163" s="27" t="n">
        <f aca="false">IF(U163&lt;=0,0,MIN(U163,N('Min gæld'!$E$9)+T163))</f>
        <v>0</v>
      </c>
      <c r="W163" s="27" t="n">
        <f aca="false">IF(U163-V163&lt;0.005,0,U163-V163)</f>
        <v>0</v>
      </c>
      <c r="X163" s="27" t="n">
        <f aca="false">MAX(0,IF(N(W162)&lt;=0.005,T163,T163+N('Min gæld'!$E$9)-V163))</f>
        <v>4800</v>
      </c>
      <c r="Y163" s="27" t="n">
        <f aca="false">IF(N(AA162)&lt;=0.005,0,N(AA162)*(1+N('Min gæld'!$D$10)/12))</f>
        <v>0</v>
      </c>
      <c r="Z163" s="27" t="n">
        <f aca="false">IF(Y163&lt;=0,0,MIN(Y163,N('Min gæld'!$E$10)+X163))</f>
        <v>0</v>
      </c>
      <c r="AA163" s="27" t="n">
        <f aca="false">IF(Y163-Z163&lt;0.005,0,Y163-Z163)</f>
        <v>0</v>
      </c>
      <c r="AB163" s="27" t="n">
        <f aca="false">MAX(0,IF(N(AA162)&lt;=0.005,X163,X163+N('Min gæld'!$E$10)-Z163))</f>
        <v>4800</v>
      </c>
      <c r="AC163" s="27" t="n">
        <f aca="false">IF(N(AE162)&lt;=0.005,0,N(AE162)*(1+N('Min gæld'!$D$11)/12))</f>
        <v>0</v>
      </c>
      <c r="AD163" s="27" t="n">
        <f aca="false">IF(AC163&lt;=0,0,MIN(AC163,N('Min gæld'!$E$11)+AB163))</f>
        <v>0</v>
      </c>
      <c r="AE163" s="27" t="n">
        <f aca="false">IF(AC163-AD163&lt;0.005,0,AC163-AD163)</f>
        <v>0</v>
      </c>
      <c r="AF163" s="27" t="n">
        <f aca="false">MAX(0,IF(N(AE162)&lt;=0.005,AB163,AB163+N('Min gæld'!$E$11)-AD163))</f>
        <v>4800</v>
      </c>
      <c r="AG163" s="27" t="n">
        <f aca="false">IF(N(AI162)&lt;=0.005,0,N(AI162)*(1+N('Min gæld'!$D$12)/12))</f>
        <v>0</v>
      </c>
      <c r="AH163" s="27" t="n">
        <f aca="false">IF(AG163&lt;=0,0,MIN(AG163,N('Min gæld'!$E$12)+AF163))</f>
        <v>0</v>
      </c>
      <c r="AI163" s="27" t="n">
        <f aca="false">IF(AG163-AH163&lt;0.005,0,AG163-AH163)</f>
        <v>0</v>
      </c>
      <c r="AJ163" s="27" t="n">
        <f aca="false">G163+K163+O163+S163+W163+AA163+AE163+AI163</f>
        <v>0</v>
      </c>
      <c r="AK163" s="28" t="n">
        <f aca="false">IF(E163&gt;0,E163-N(G162),0)+IF(I163&gt;0,I163-N(K162),0)+IF(M163&gt;0,M163-N(O162),0)+IF(Q163&gt;0,Q163-N(S162),0)+IF(U163&gt;0,U163-N(W162),0)+IF(Y163&gt;0,Y163-N(AA162),0)+IF(AC163&gt;0,AC163-N(AE162),0)+IF(AG163&gt;0,AG163-N(AI162),0)</f>
        <v>0</v>
      </c>
    </row>
    <row r="164" customFormat="false" ht="15" hidden="false" customHeight="false" outlineLevel="0" collapsed="false">
      <c r="A164" s="25" t="n">
        <v>159</v>
      </c>
      <c r="B164" s="26" t="n">
        <f aca="false">EDATE('Min gæld'!$C$16,158)</f>
        <v>51196</v>
      </c>
      <c r="C164" s="27" t="n">
        <f aca="false">N('Min gæld'!$C$15)+IF(N(G163)&lt;=0.005,N('Min gæld'!$E$5),0)+IF(N(K163)&lt;=0.005,N('Min gæld'!$E$6),0)+IF(N(O163)&lt;=0.005,N('Min gæld'!$E$7),0)+IF(N(S163)&lt;=0.005,N('Min gæld'!$E$8),0)+IF(N(W163)&lt;=0.005,N('Min gæld'!$E$9),0)+IF(N(AA163)&lt;=0.005,N('Min gæld'!$E$10),0)+IF(N(AE163)&lt;=0.005,N('Min gæld'!$E$11),0)+IF(N(AI163)&lt;=0.005,N('Min gæld'!$E$12),0)</f>
        <v>4800</v>
      </c>
      <c r="D164" s="27" t="n">
        <f aca="false">MAX(0,C164)</f>
        <v>4800</v>
      </c>
      <c r="E164" s="27" t="n">
        <f aca="false">IF(N(G163)&lt;=0.005,0,N(G163)*(1+N('Min gæld'!$D$5)/12))</f>
        <v>0</v>
      </c>
      <c r="F164" s="27" t="n">
        <f aca="false">IF(E164&lt;=0,0,MIN(E164,N('Min gæld'!$E$5)+D164))</f>
        <v>0</v>
      </c>
      <c r="G164" s="27" t="n">
        <f aca="false">IF(E164-F164&lt;0.005,0,E164-F164)</f>
        <v>0</v>
      </c>
      <c r="H164" s="27" t="n">
        <f aca="false">MAX(0,IF(N(G163)&lt;=0.005,D164,D164+N('Min gæld'!$E$5)-F164))</f>
        <v>4800</v>
      </c>
      <c r="I164" s="27" t="n">
        <f aca="false">IF(N(K163)&lt;=0.005,0,N(K163)*(1+N('Min gæld'!$D$6)/12))</f>
        <v>0</v>
      </c>
      <c r="J164" s="27" t="n">
        <f aca="false">IF(I164&lt;=0,0,MIN(I164,N('Min gæld'!$E$6)+H164))</f>
        <v>0</v>
      </c>
      <c r="K164" s="27" t="n">
        <f aca="false">IF(I164-J164&lt;0.005,0,I164-J164)</f>
        <v>0</v>
      </c>
      <c r="L164" s="27" t="n">
        <f aca="false">MAX(0,IF(N(K163)&lt;=0.005,H164,H164+N('Min gæld'!$E$6)-J164))</f>
        <v>4800</v>
      </c>
      <c r="M164" s="27" t="n">
        <f aca="false">IF(N(O163)&lt;=0.005,0,N(O163)*(1+N('Min gæld'!$D$7)/12))</f>
        <v>0</v>
      </c>
      <c r="N164" s="27" t="n">
        <f aca="false">IF(M164&lt;=0,0,MIN(M164,N('Min gæld'!$E$7)+L164))</f>
        <v>0</v>
      </c>
      <c r="O164" s="27" t="n">
        <f aca="false">IF(M164-N164&lt;0.005,0,M164-N164)</f>
        <v>0</v>
      </c>
      <c r="P164" s="27" t="n">
        <f aca="false">MAX(0,IF(N(O163)&lt;=0.005,L164,L164+N('Min gæld'!$E$7)-N164))</f>
        <v>4800</v>
      </c>
      <c r="Q164" s="27" t="n">
        <f aca="false">IF(N(S163)&lt;=0.005,0,N(S163)*(1+N('Min gæld'!$D$8)/12))</f>
        <v>0</v>
      </c>
      <c r="R164" s="27" t="n">
        <f aca="false">IF(Q164&lt;=0,0,MIN(Q164,N('Min gæld'!$E$8)+P164))</f>
        <v>0</v>
      </c>
      <c r="S164" s="27" t="n">
        <f aca="false">IF(Q164-R164&lt;0.005,0,Q164-R164)</f>
        <v>0</v>
      </c>
      <c r="T164" s="27" t="n">
        <f aca="false">MAX(0,IF(N(S163)&lt;=0.005,P164,P164+N('Min gæld'!$E$8)-R164))</f>
        <v>4800</v>
      </c>
      <c r="U164" s="27" t="n">
        <f aca="false">IF(N(W163)&lt;=0.005,0,N(W163)*(1+N('Min gæld'!$D$9)/12))</f>
        <v>0</v>
      </c>
      <c r="V164" s="27" t="n">
        <f aca="false">IF(U164&lt;=0,0,MIN(U164,N('Min gæld'!$E$9)+T164))</f>
        <v>0</v>
      </c>
      <c r="W164" s="27" t="n">
        <f aca="false">IF(U164-V164&lt;0.005,0,U164-V164)</f>
        <v>0</v>
      </c>
      <c r="X164" s="27" t="n">
        <f aca="false">MAX(0,IF(N(W163)&lt;=0.005,T164,T164+N('Min gæld'!$E$9)-V164))</f>
        <v>4800</v>
      </c>
      <c r="Y164" s="27" t="n">
        <f aca="false">IF(N(AA163)&lt;=0.005,0,N(AA163)*(1+N('Min gæld'!$D$10)/12))</f>
        <v>0</v>
      </c>
      <c r="Z164" s="27" t="n">
        <f aca="false">IF(Y164&lt;=0,0,MIN(Y164,N('Min gæld'!$E$10)+X164))</f>
        <v>0</v>
      </c>
      <c r="AA164" s="27" t="n">
        <f aca="false">IF(Y164-Z164&lt;0.005,0,Y164-Z164)</f>
        <v>0</v>
      </c>
      <c r="AB164" s="27" t="n">
        <f aca="false">MAX(0,IF(N(AA163)&lt;=0.005,X164,X164+N('Min gæld'!$E$10)-Z164))</f>
        <v>4800</v>
      </c>
      <c r="AC164" s="27" t="n">
        <f aca="false">IF(N(AE163)&lt;=0.005,0,N(AE163)*(1+N('Min gæld'!$D$11)/12))</f>
        <v>0</v>
      </c>
      <c r="AD164" s="27" t="n">
        <f aca="false">IF(AC164&lt;=0,0,MIN(AC164,N('Min gæld'!$E$11)+AB164))</f>
        <v>0</v>
      </c>
      <c r="AE164" s="27" t="n">
        <f aca="false">IF(AC164-AD164&lt;0.005,0,AC164-AD164)</f>
        <v>0</v>
      </c>
      <c r="AF164" s="27" t="n">
        <f aca="false">MAX(0,IF(N(AE163)&lt;=0.005,AB164,AB164+N('Min gæld'!$E$11)-AD164))</f>
        <v>4800</v>
      </c>
      <c r="AG164" s="27" t="n">
        <f aca="false">IF(N(AI163)&lt;=0.005,0,N(AI163)*(1+N('Min gæld'!$D$12)/12))</f>
        <v>0</v>
      </c>
      <c r="AH164" s="27" t="n">
        <f aca="false">IF(AG164&lt;=0,0,MIN(AG164,N('Min gæld'!$E$12)+AF164))</f>
        <v>0</v>
      </c>
      <c r="AI164" s="27" t="n">
        <f aca="false">IF(AG164-AH164&lt;0.005,0,AG164-AH164)</f>
        <v>0</v>
      </c>
      <c r="AJ164" s="27" t="n">
        <f aca="false">G164+K164+O164+S164+W164+AA164+AE164+AI164</f>
        <v>0</v>
      </c>
      <c r="AK164" s="28" t="n">
        <f aca="false">IF(E164&gt;0,E164-N(G163),0)+IF(I164&gt;0,I164-N(K163),0)+IF(M164&gt;0,M164-N(O163),0)+IF(Q164&gt;0,Q164-N(S163),0)+IF(U164&gt;0,U164-N(W163),0)+IF(Y164&gt;0,Y164-N(AA163),0)+IF(AC164&gt;0,AC164-N(AE163),0)+IF(AG164&gt;0,AG164-N(AI163),0)</f>
        <v>0</v>
      </c>
    </row>
    <row r="165" customFormat="false" ht="15" hidden="false" customHeight="false" outlineLevel="0" collapsed="false">
      <c r="A165" s="25" t="n">
        <v>160</v>
      </c>
      <c r="B165" s="26" t="n">
        <f aca="false">EDATE('Min gæld'!$C$16,159)</f>
        <v>51227</v>
      </c>
      <c r="C165" s="27" t="n">
        <f aca="false">N('Min gæld'!$C$15)+IF(N(G164)&lt;=0.005,N('Min gæld'!$E$5),0)+IF(N(K164)&lt;=0.005,N('Min gæld'!$E$6),0)+IF(N(O164)&lt;=0.005,N('Min gæld'!$E$7),0)+IF(N(S164)&lt;=0.005,N('Min gæld'!$E$8),0)+IF(N(W164)&lt;=0.005,N('Min gæld'!$E$9),0)+IF(N(AA164)&lt;=0.005,N('Min gæld'!$E$10),0)+IF(N(AE164)&lt;=0.005,N('Min gæld'!$E$11),0)+IF(N(AI164)&lt;=0.005,N('Min gæld'!$E$12),0)</f>
        <v>4800</v>
      </c>
      <c r="D165" s="27" t="n">
        <f aca="false">MAX(0,C165)</f>
        <v>4800</v>
      </c>
      <c r="E165" s="27" t="n">
        <f aca="false">IF(N(G164)&lt;=0.005,0,N(G164)*(1+N('Min gæld'!$D$5)/12))</f>
        <v>0</v>
      </c>
      <c r="F165" s="27" t="n">
        <f aca="false">IF(E165&lt;=0,0,MIN(E165,N('Min gæld'!$E$5)+D165))</f>
        <v>0</v>
      </c>
      <c r="G165" s="27" t="n">
        <f aca="false">IF(E165-F165&lt;0.005,0,E165-F165)</f>
        <v>0</v>
      </c>
      <c r="H165" s="27" t="n">
        <f aca="false">MAX(0,IF(N(G164)&lt;=0.005,D165,D165+N('Min gæld'!$E$5)-F165))</f>
        <v>4800</v>
      </c>
      <c r="I165" s="27" t="n">
        <f aca="false">IF(N(K164)&lt;=0.005,0,N(K164)*(1+N('Min gæld'!$D$6)/12))</f>
        <v>0</v>
      </c>
      <c r="J165" s="27" t="n">
        <f aca="false">IF(I165&lt;=0,0,MIN(I165,N('Min gæld'!$E$6)+H165))</f>
        <v>0</v>
      </c>
      <c r="K165" s="27" t="n">
        <f aca="false">IF(I165-J165&lt;0.005,0,I165-J165)</f>
        <v>0</v>
      </c>
      <c r="L165" s="27" t="n">
        <f aca="false">MAX(0,IF(N(K164)&lt;=0.005,H165,H165+N('Min gæld'!$E$6)-J165))</f>
        <v>4800</v>
      </c>
      <c r="M165" s="27" t="n">
        <f aca="false">IF(N(O164)&lt;=0.005,0,N(O164)*(1+N('Min gæld'!$D$7)/12))</f>
        <v>0</v>
      </c>
      <c r="N165" s="27" t="n">
        <f aca="false">IF(M165&lt;=0,0,MIN(M165,N('Min gæld'!$E$7)+L165))</f>
        <v>0</v>
      </c>
      <c r="O165" s="27" t="n">
        <f aca="false">IF(M165-N165&lt;0.005,0,M165-N165)</f>
        <v>0</v>
      </c>
      <c r="P165" s="27" t="n">
        <f aca="false">MAX(0,IF(N(O164)&lt;=0.005,L165,L165+N('Min gæld'!$E$7)-N165))</f>
        <v>4800</v>
      </c>
      <c r="Q165" s="27" t="n">
        <f aca="false">IF(N(S164)&lt;=0.005,0,N(S164)*(1+N('Min gæld'!$D$8)/12))</f>
        <v>0</v>
      </c>
      <c r="R165" s="27" t="n">
        <f aca="false">IF(Q165&lt;=0,0,MIN(Q165,N('Min gæld'!$E$8)+P165))</f>
        <v>0</v>
      </c>
      <c r="S165" s="27" t="n">
        <f aca="false">IF(Q165-R165&lt;0.005,0,Q165-R165)</f>
        <v>0</v>
      </c>
      <c r="T165" s="27" t="n">
        <f aca="false">MAX(0,IF(N(S164)&lt;=0.005,P165,P165+N('Min gæld'!$E$8)-R165))</f>
        <v>4800</v>
      </c>
      <c r="U165" s="27" t="n">
        <f aca="false">IF(N(W164)&lt;=0.005,0,N(W164)*(1+N('Min gæld'!$D$9)/12))</f>
        <v>0</v>
      </c>
      <c r="V165" s="27" t="n">
        <f aca="false">IF(U165&lt;=0,0,MIN(U165,N('Min gæld'!$E$9)+T165))</f>
        <v>0</v>
      </c>
      <c r="W165" s="27" t="n">
        <f aca="false">IF(U165-V165&lt;0.005,0,U165-V165)</f>
        <v>0</v>
      </c>
      <c r="X165" s="27" t="n">
        <f aca="false">MAX(0,IF(N(W164)&lt;=0.005,T165,T165+N('Min gæld'!$E$9)-V165))</f>
        <v>4800</v>
      </c>
      <c r="Y165" s="27" t="n">
        <f aca="false">IF(N(AA164)&lt;=0.005,0,N(AA164)*(1+N('Min gæld'!$D$10)/12))</f>
        <v>0</v>
      </c>
      <c r="Z165" s="27" t="n">
        <f aca="false">IF(Y165&lt;=0,0,MIN(Y165,N('Min gæld'!$E$10)+X165))</f>
        <v>0</v>
      </c>
      <c r="AA165" s="27" t="n">
        <f aca="false">IF(Y165-Z165&lt;0.005,0,Y165-Z165)</f>
        <v>0</v>
      </c>
      <c r="AB165" s="27" t="n">
        <f aca="false">MAX(0,IF(N(AA164)&lt;=0.005,X165,X165+N('Min gæld'!$E$10)-Z165))</f>
        <v>4800</v>
      </c>
      <c r="AC165" s="27" t="n">
        <f aca="false">IF(N(AE164)&lt;=0.005,0,N(AE164)*(1+N('Min gæld'!$D$11)/12))</f>
        <v>0</v>
      </c>
      <c r="AD165" s="27" t="n">
        <f aca="false">IF(AC165&lt;=0,0,MIN(AC165,N('Min gæld'!$E$11)+AB165))</f>
        <v>0</v>
      </c>
      <c r="AE165" s="27" t="n">
        <f aca="false">IF(AC165-AD165&lt;0.005,0,AC165-AD165)</f>
        <v>0</v>
      </c>
      <c r="AF165" s="27" t="n">
        <f aca="false">MAX(0,IF(N(AE164)&lt;=0.005,AB165,AB165+N('Min gæld'!$E$11)-AD165))</f>
        <v>4800</v>
      </c>
      <c r="AG165" s="27" t="n">
        <f aca="false">IF(N(AI164)&lt;=0.005,0,N(AI164)*(1+N('Min gæld'!$D$12)/12))</f>
        <v>0</v>
      </c>
      <c r="AH165" s="27" t="n">
        <f aca="false">IF(AG165&lt;=0,0,MIN(AG165,N('Min gæld'!$E$12)+AF165))</f>
        <v>0</v>
      </c>
      <c r="AI165" s="27" t="n">
        <f aca="false">IF(AG165-AH165&lt;0.005,0,AG165-AH165)</f>
        <v>0</v>
      </c>
      <c r="AJ165" s="27" t="n">
        <f aca="false">G165+K165+O165+S165+W165+AA165+AE165+AI165</f>
        <v>0</v>
      </c>
      <c r="AK165" s="28" t="n">
        <f aca="false">IF(E165&gt;0,E165-N(G164),0)+IF(I165&gt;0,I165-N(K164),0)+IF(M165&gt;0,M165-N(O164),0)+IF(Q165&gt;0,Q165-N(S164),0)+IF(U165&gt;0,U165-N(W164),0)+IF(Y165&gt;0,Y165-N(AA164),0)+IF(AC165&gt;0,AC165-N(AE164),0)+IF(AG165&gt;0,AG165-N(AI164),0)</f>
        <v>0</v>
      </c>
    </row>
    <row r="166" customFormat="false" ht="15" hidden="false" customHeight="false" outlineLevel="0" collapsed="false">
      <c r="A166" s="25" t="n">
        <v>161</v>
      </c>
      <c r="B166" s="26" t="n">
        <f aca="false">EDATE('Min gæld'!$C$16,160)</f>
        <v>51257</v>
      </c>
      <c r="C166" s="27" t="n">
        <f aca="false">N('Min gæld'!$C$15)+IF(N(G165)&lt;=0.005,N('Min gæld'!$E$5),0)+IF(N(K165)&lt;=0.005,N('Min gæld'!$E$6),0)+IF(N(O165)&lt;=0.005,N('Min gæld'!$E$7),0)+IF(N(S165)&lt;=0.005,N('Min gæld'!$E$8),0)+IF(N(W165)&lt;=0.005,N('Min gæld'!$E$9),0)+IF(N(AA165)&lt;=0.005,N('Min gæld'!$E$10),0)+IF(N(AE165)&lt;=0.005,N('Min gæld'!$E$11),0)+IF(N(AI165)&lt;=0.005,N('Min gæld'!$E$12),0)</f>
        <v>4800</v>
      </c>
      <c r="D166" s="27" t="n">
        <f aca="false">MAX(0,C166)</f>
        <v>4800</v>
      </c>
      <c r="E166" s="27" t="n">
        <f aca="false">IF(N(G165)&lt;=0.005,0,N(G165)*(1+N('Min gæld'!$D$5)/12))</f>
        <v>0</v>
      </c>
      <c r="F166" s="27" t="n">
        <f aca="false">IF(E166&lt;=0,0,MIN(E166,N('Min gæld'!$E$5)+D166))</f>
        <v>0</v>
      </c>
      <c r="G166" s="27" t="n">
        <f aca="false">IF(E166-F166&lt;0.005,0,E166-F166)</f>
        <v>0</v>
      </c>
      <c r="H166" s="27" t="n">
        <f aca="false">MAX(0,IF(N(G165)&lt;=0.005,D166,D166+N('Min gæld'!$E$5)-F166))</f>
        <v>4800</v>
      </c>
      <c r="I166" s="27" t="n">
        <f aca="false">IF(N(K165)&lt;=0.005,0,N(K165)*(1+N('Min gæld'!$D$6)/12))</f>
        <v>0</v>
      </c>
      <c r="J166" s="27" t="n">
        <f aca="false">IF(I166&lt;=0,0,MIN(I166,N('Min gæld'!$E$6)+H166))</f>
        <v>0</v>
      </c>
      <c r="K166" s="27" t="n">
        <f aca="false">IF(I166-J166&lt;0.005,0,I166-J166)</f>
        <v>0</v>
      </c>
      <c r="L166" s="27" t="n">
        <f aca="false">MAX(0,IF(N(K165)&lt;=0.005,H166,H166+N('Min gæld'!$E$6)-J166))</f>
        <v>4800</v>
      </c>
      <c r="M166" s="27" t="n">
        <f aca="false">IF(N(O165)&lt;=0.005,0,N(O165)*(1+N('Min gæld'!$D$7)/12))</f>
        <v>0</v>
      </c>
      <c r="N166" s="27" t="n">
        <f aca="false">IF(M166&lt;=0,0,MIN(M166,N('Min gæld'!$E$7)+L166))</f>
        <v>0</v>
      </c>
      <c r="O166" s="27" t="n">
        <f aca="false">IF(M166-N166&lt;0.005,0,M166-N166)</f>
        <v>0</v>
      </c>
      <c r="P166" s="27" t="n">
        <f aca="false">MAX(0,IF(N(O165)&lt;=0.005,L166,L166+N('Min gæld'!$E$7)-N166))</f>
        <v>4800</v>
      </c>
      <c r="Q166" s="27" t="n">
        <f aca="false">IF(N(S165)&lt;=0.005,0,N(S165)*(1+N('Min gæld'!$D$8)/12))</f>
        <v>0</v>
      </c>
      <c r="R166" s="27" t="n">
        <f aca="false">IF(Q166&lt;=0,0,MIN(Q166,N('Min gæld'!$E$8)+P166))</f>
        <v>0</v>
      </c>
      <c r="S166" s="27" t="n">
        <f aca="false">IF(Q166-R166&lt;0.005,0,Q166-R166)</f>
        <v>0</v>
      </c>
      <c r="T166" s="27" t="n">
        <f aca="false">MAX(0,IF(N(S165)&lt;=0.005,P166,P166+N('Min gæld'!$E$8)-R166))</f>
        <v>4800</v>
      </c>
      <c r="U166" s="27" t="n">
        <f aca="false">IF(N(W165)&lt;=0.005,0,N(W165)*(1+N('Min gæld'!$D$9)/12))</f>
        <v>0</v>
      </c>
      <c r="V166" s="27" t="n">
        <f aca="false">IF(U166&lt;=0,0,MIN(U166,N('Min gæld'!$E$9)+T166))</f>
        <v>0</v>
      </c>
      <c r="W166" s="27" t="n">
        <f aca="false">IF(U166-V166&lt;0.005,0,U166-V166)</f>
        <v>0</v>
      </c>
      <c r="X166" s="27" t="n">
        <f aca="false">MAX(0,IF(N(W165)&lt;=0.005,T166,T166+N('Min gæld'!$E$9)-V166))</f>
        <v>4800</v>
      </c>
      <c r="Y166" s="27" t="n">
        <f aca="false">IF(N(AA165)&lt;=0.005,0,N(AA165)*(1+N('Min gæld'!$D$10)/12))</f>
        <v>0</v>
      </c>
      <c r="Z166" s="27" t="n">
        <f aca="false">IF(Y166&lt;=0,0,MIN(Y166,N('Min gæld'!$E$10)+X166))</f>
        <v>0</v>
      </c>
      <c r="AA166" s="27" t="n">
        <f aca="false">IF(Y166-Z166&lt;0.005,0,Y166-Z166)</f>
        <v>0</v>
      </c>
      <c r="AB166" s="27" t="n">
        <f aca="false">MAX(0,IF(N(AA165)&lt;=0.005,X166,X166+N('Min gæld'!$E$10)-Z166))</f>
        <v>4800</v>
      </c>
      <c r="AC166" s="27" t="n">
        <f aca="false">IF(N(AE165)&lt;=0.005,0,N(AE165)*(1+N('Min gæld'!$D$11)/12))</f>
        <v>0</v>
      </c>
      <c r="AD166" s="27" t="n">
        <f aca="false">IF(AC166&lt;=0,0,MIN(AC166,N('Min gæld'!$E$11)+AB166))</f>
        <v>0</v>
      </c>
      <c r="AE166" s="27" t="n">
        <f aca="false">IF(AC166-AD166&lt;0.005,0,AC166-AD166)</f>
        <v>0</v>
      </c>
      <c r="AF166" s="27" t="n">
        <f aca="false">MAX(0,IF(N(AE165)&lt;=0.005,AB166,AB166+N('Min gæld'!$E$11)-AD166))</f>
        <v>4800</v>
      </c>
      <c r="AG166" s="27" t="n">
        <f aca="false">IF(N(AI165)&lt;=0.005,0,N(AI165)*(1+N('Min gæld'!$D$12)/12))</f>
        <v>0</v>
      </c>
      <c r="AH166" s="27" t="n">
        <f aca="false">IF(AG166&lt;=0,0,MIN(AG166,N('Min gæld'!$E$12)+AF166))</f>
        <v>0</v>
      </c>
      <c r="AI166" s="27" t="n">
        <f aca="false">IF(AG166-AH166&lt;0.005,0,AG166-AH166)</f>
        <v>0</v>
      </c>
      <c r="AJ166" s="27" t="n">
        <f aca="false">G166+K166+O166+S166+W166+AA166+AE166+AI166</f>
        <v>0</v>
      </c>
      <c r="AK166" s="28" t="n">
        <f aca="false">IF(E166&gt;0,E166-N(G165),0)+IF(I166&gt;0,I166-N(K165),0)+IF(M166&gt;0,M166-N(O165),0)+IF(Q166&gt;0,Q166-N(S165),0)+IF(U166&gt;0,U166-N(W165),0)+IF(Y166&gt;0,Y166-N(AA165),0)+IF(AC166&gt;0,AC166-N(AE165),0)+IF(AG166&gt;0,AG166-N(AI165),0)</f>
        <v>0</v>
      </c>
    </row>
    <row r="167" customFormat="false" ht="15" hidden="false" customHeight="false" outlineLevel="0" collapsed="false">
      <c r="A167" s="25" t="n">
        <v>162</v>
      </c>
      <c r="B167" s="26" t="n">
        <f aca="false">EDATE('Min gæld'!$C$16,161)</f>
        <v>51288</v>
      </c>
      <c r="C167" s="27" t="n">
        <f aca="false">N('Min gæld'!$C$15)+IF(N(G166)&lt;=0.005,N('Min gæld'!$E$5),0)+IF(N(K166)&lt;=0.005,N('Min gæld'!$E$6),0)+IF(N(O166)&lt;=0.005,N('Min gæld'!$E$7),0)+IF(N(S166)&lt;=0.005,N('Min gæld'!$E$8),0)+IF(N(W166)&lt;=0.005,N('Min gæld'!$E$9),0)+IF(N(AA166)&lt;=0.005,N('Min gæld'!$E$10),0)+IF(N(AE166)&lt;=0.005,N('Min gæld'!$E$11),0)+IF(N(AI166)&lt;=0.005,N('Min gæld'!$E$12),0)</f>
        <v>4800</v>
      </c>
      <c r="D167" s="27" t="n">
        <f aca="false">MAX(0,C167)</f>
        <v>4800</v>
      </c>
      <c r="E167" s="27" t="n">
        <f aca="false">IF(N(G166)&lt;=0.005,0,N(G166)*(1+N('Min gæld'!$D$5)/12))</f>
        <v>0</v>
      </c>
      <c r="F167" s="27" t="n">
        <f aca="false">IF(E167&lt;=0,0,MIN(E167,N('Min gæld'!$E$5)+D167))</f>
        <v>0</v>
      </c>
      <c r="G167" s="27" t="n">
        <f aca="false">IF(E167-F167&lt;0.005,0,E167-F167)</f>
        <v>0</v>
      </c>
      <c r="H167" s="27" t="n">
        <f aca="false">MAX(0,IF(N(G166)&lt;=0.005,D167,D167+N('Min gæld'!$E$5)-F167))</f>
        <v>4800</v>
      </c>
      <c r="I167" s="27" t="n">
        <f aca="false">IF(N(K166)&lt;=0.005,0,N(K166)*(1+N('Min gæld'!$D$6)/12))</f>
        <v>0</v>
      </c>
      <c r="J167" s="27" t="n">
        <f aca="false">IF(I167&lt;=0,0,MIN(I167,N('Min gæld'!$E$6)+H167))</f>
        <v>0</v>
      </c>
      <c r="K167" s="27" t="n">
        <f aca="false">IF(I167-J167&lt;0.005,0,I167-J167)</f>
        <v>0</v>
      </c>
      <c r="L167" s="27" t="n">
        <f aca="false">MAX(0,IF(N(K166)&lt;=0.005,H167,H167+N('Min gæld'!$E$6)-J167))</f>
        <v>4800</v>
      </c>
      <c r="M167" s="27" t="n">
        <f aca="false">IF(N(O166)&lt;=0.005,0,N(O166)*(1+N('Min gæld'!$D$7)/12))</f>
        <v>0</v>
      </c>
      <c r="N167" s="27" t="n">
        <f aca="false">IF(M167&lt;=0,0,MIN(M167,N('Min gæld'!$E$7)+L167))</f>
        <v>0</v>
      </c>
      <c r="O167" s="27" t="n">
        <f aca="false">IF(M167-N167&lt;0.005,0,M167-N167)</f>
        <v>0</v>
      </c>
      <c r="P167" s="27" t="n">
        <f aca="false">MAX(0,IF(N(O166)&lt;=0.005,L167,L167+N('Min gæld'!$E$7)-N167))</f>
        <v>4800</v>
      </c>
      <c r="Q167" s="27" t="n">
        <f aca="false">IF(N(S166)&lt;=0.005,0,N(S166)*(1+N('Min gæld'!$D$8)/12))</f>
        <v>0</v>
      </c>
      <c r="R167" s="27" t="n">
        <f aca="false">IF(Q167&lt;=0,0,MIN(Q167,N('Min gæld'!$E$8)+P167))</f>
        <v>0</v>
      </c>
      <c r="S167" s="27" t="n">
        <f aca="false">IF(Q167-R167&lt;0.005,0,Q167-R167)</f>
        <v>0</v>
      </c>
      <c r="T167" s="27" t="n">
        <f aca="false">MAX(0,IF(N(S166)&lt;=0.005,P167,P167+N('Min gæld'!$E$8)-R167))</f>
        <v>4800</v>
      </c>
      <c r="U167" s="27" t="n">
        <f aca="false">IF(N(W166)&lt;=0.005,0,N(W166)*(1+N('Min gæld'!$D$9)/12))</f>
        <v>0</v>
      </c>
      <c r="V167" s="27" t="n">
        <f aca="false">IF(U167&lt;=0,0,MIN(U167,N('Min gæld'!$E$9)+T167))</f>
        <v>0</v>
      </c>
      <c r="W167" s="27" t="n">
        <f aca="false">IF(U167-V167&lt;0.005,0,U167-V167)</f>
        <v>0</v>
      </c>
      <c r="X167" s="27" t="n">
        <f aca="false">MAX(0,IF(N(W166)&lt;=0.005,T167,T167+N('Min gæld'!$E$9)-V167))</f>
        <v>4800</v>
      </c>
      <c r="Y167" s="27" t="n">
        <f aca="false">IF(N(AA166)&lt;=0.005,0,N(AA166)*(1+N('Min gæld'!$D$10)/12))</f>
        <v>0</v>
      </c>
      <c r="Z167" s="27" t="n">
        <f aca="false">IF(Y167&lt;=0,0,MIN(Y167,N('Min gæld'!$E$10)+X167))</f>
        <v>0</v>
      </c>
      <c r="AA167" s="27" t="n">
        <f aca="false">IF(Y167-Z167&lt;0.005,0,Y167-Z167)</f>
        <v>0</v>
      </c>
      <c r="AB167" s="27" t="n">
        <f aca="false">MAX(0,IF(N(AA166)&lt;=0.005,X167,X167+N('Min gæld'!$E$10)-Z167))</f>
        <v>4800</v>
      </c>
      <c r="AC167" s="27" t="n">
        <f aca="false">IF(N(AE166)&lt;=0.005,0,N(AE166)*(1+N('Min gæld'!$D$11)/12))</f>
        <v>0</v>
      </c>
      <c r="AD167" s="27" t="n">
        <f aca="false">IF(AC167&lt;=0,0,MIN(AC167,N('Min gæld'!$E$11)+AB167))</f>
        <v>0</v>
      </c>
      <c r="AE167" s="27" t="n">
        <f aca="false">IF(AC167-AD167&lt;0.005,0,AC167-AD167)</f>
        <v>0</v>
      </c>
      <c r="AF167" s="27" t="n">
        <f aca="false">MAX(0,IF(N(AE166)&lt;=0.005,AB167,AB167+N('Min gæld'!$E$11)-AD167))</f>
        <v>4800</v>
      </c>
      <c r="AG167" s="27" t="n">
        <f aca="false">IF(N(AI166)&lt;=0.005,0,N(AI166)*(1+N('Min gæld'!$D$12)/12))</f>
        <v>0</v>
      </c>
      <c r="AH167" s="27" t="n">
        <f aca="false">IF(AG167&lt;=0,0,MIN(AG167,N('Min gæld'!$E$12)+AF167))</f>
        <v>0</v>
      </c>
      <c r="AI167" s="27" t="n">
        <f aca="false">IF(AG167-AH167&lt;0.005,0,AG167-AH167)</f>
        <v>0</v>
      </c>
      <c r="AJ167" s="27" t="n">
        <f aca="false">G167+K167+O167+S167+W167+AA167+AE167+AI167</f>
        <v>0</v>
      </c>
      <c r="AK167" s="28" t="n">
        <f aca="false">IF(E167&gt;0,E167-N(G166),0)+IF(I167&gt;0,I167-N(K166),0)+IF(M167&gt;0,M167-N(O166),0)+IF(Q167&gt;0,Q167-N(S166),0)+IF(U167&gt;0,U167-N(W166),0)+IF(Y167&gt;0,Y167-N(AA166),0)+IF(AC167&gt;0,AC167-N(AE166),0)+IF(AG167&gt;0,AG167-N(AI166),0)</f>
        <v>0</v>
      </c>
    </row>
    <row r="168" customFormat="false" ht="15" hidden="false" customHeight="false" outlineLevel="0" collapsed="false">
      <c r="A168" s="25" t="n">
        <v>163</v>
      </c>
      <c r="B168" s="26" t="n">
        <f aca="false">EDATE('Min gæld'!$C$16,162)</f>
        <v>51318</v>
      </c>
      <c r="C168" s="27" t="n">
        <f aca="false">N('Min gæld'!$C$15)+IF(N(G167)&lt;=0.005,N('Min gæld'!$E$5),0)+IF(N(K167)&lt;=0.005,N('Min gæld'!$E$6),0)+IF(N(O167)&lt;=0.005,N('Min gæld'!$E$7),0)+IF(N(S167)&lt;=0.005,N('Min gæld'!$E$8),0)+IF(N(W167)&lt;=0.005,N('Min gæld'!$E$9),0)+IF(N(AA167)&lt;=0.005,N('Min gæld'!$E$10),0)+IF(N(AE167)&lt;=0.005,N('Min gæld'!$E$11),0)+IF(N(AI167)&lt;=0.005,N('Min gæld'!$E$12),0)</f>
        <v>4800</v>
      </c>
      <c r="D168" s="27" t="n">
        <f aca="false">MAX(0,C168)</f>
        <v>4800</v>
      </c>
      <c r="E168" s="27" t="n">
        <f aca="false">IF(N(G167)&lt;=0.005,0,N(G167)*(1+N('Min gæld'!$D$5)/12))</f>
        <v>0</v>
      </c>
      <c r="F168" s="27" t="n">
        <f aca="false">IF(E168&lt;=0,0,MIN(E168,N('Min gæld'!$E$5)+D168))</f>
        <v>0</v>
      </c>
      <c r="G168" s="27" t="n">
        <f aca="false">IF(E168-F168&lt;0.005,0,E168-F168)</f>
        <v>0</v>
      </c>
      <c r="H168" s="27" t="n">
        <f aca="false">MAX(0,IF(N(G167)&lt;=0.005,D168,D168+N('Min gæld'!$E$5)-F168))</f>
        <v>4800</v>
      </c>
      <c r="I168" s="27" t="n">
        <f aca="false">IF(N(K167)&lt;=0.005,0,N(K167)*(1+N('Min gæld'!$D$6)/12))</f>
        <v>0</v>
      </c>
      <c r="J168" s="27" t="n">
        <f aca="false">IF(I168&lt;=0,0,MIN(I168,N('Min gæld'!$E$6)+H168))</f>
        <v>0</v>
      </c>
      <c r="K168" s="27" t="n">
        <f aca="false">IF(I168-J168&lt;0.005,0,I168-J168)</f>
        <v>0</v>
      </c>
      <c r="L168" s="27" t="n">
        <f aca="false">MAX(0,IF(N(K167)&lt;=0.005,H168,H168+N('Min gæld'!$E$6)-J168))</f>
        <v>4800</v>
      </c>
      <c r="M168" s="27" t="n">
        <f aca="false">IF(N(O167)&lt;=0.005,0,N(O167)*(1+N('Min gæld'!$D$7)/12))</f>
        <v>0</v>
      </c>
      <c r="N168" s="27" t="n">
        <f aca="false">IF(M168&lt;=0,0,MIN(M168,N('Min gæld'!$E$7)+L168))</f>
        <v>0</v>
      </c>
      <c r="O168" s="27" t="n">
        <f aca="false">IF(M168-N168&lt;0.005,0,M168-N168)</f>
        <v>0</v>
      </c>
      <c r="P168" s="27" t="n">
        <f aca="false">MAX(0,IF(N(O167)&lt;=0.005,L168,L168+N('Min gæld'!$E$7)-N168))</f>
        <v>4800</v>
      </c>
      <c r="Q168" s="27" t="n">
        <f aca="false">IF(N(S167)&lt;=0.005,0,N(S167)*(1+N('Min gæld'!$D$8)/12))</f>
        <v>0</v>
      </c>
      <c r="R168" s="27" t="n">
        <f aca="false">IF(Q168&lt;=0,0,MIN(Q168,N('Min gæld'!$E$8)+P168))</f>
        <v>0</v>
      </c>
      <c r="S168" s="27" t="n">
        <f aca="false">IF(Q168-R168&lt;0.005,0,Q168-R168)</f>
        <v>0</v>
      </c>
      <c r="T168" s="27" t="n">
        <f aca="false">MAX(0,IF(N(S167)&lt;=0.005,P168,P168+N('Min gæld'!$E$8)-R168))</f>
        <v>4800</v>
      </c>
      <c r="U168" s="27" t="n">
        <f aca="false">IF(N(W167)&lt;=0.005,0,N(W167)*(1+N('Min gæld'!$D$9)/12))</f>
        <v>0</v>
      </c>
      <c r="V168" s="27" t="n">
        <f aca="false">IF(U168&lt;=0,0,MIN(U168,N('Min gæld'!$E$9)+T168))</f>
        <v>0</v>
      </c>
      <c r="W168" s="27" t="n">
        <f aca="false">IF(U168-V168&lt;0.005,0,U168-V168)</f>
        <v>0</v>
      </c>
      <c r="X168" s="27" t="n">
        <f aca="false">MAX(0,IF(N(W167)&lt;=0.005,T168,T168+N('Min gæld'!$E$9)-V168))</f>
        <v>4800</v>
      </c>
      <c r="Y168" s="27" t="n">
        <f aca="false">IF(N(AA167)&lt;=0.005,0,N(AA167)*(1+N('Min gæld'!$D$10)/12))</f>
        <v>0</v>
      </c>
      <c r="Z168" s="27" t="n">
        <f aca="false">IF(Y168&lt;=0,0,MIN(Y168,N('Min gæld'!$E$10)+X168))</f>
        <v>0</v>
      </c>
      <c r="AA168" s="27" t="n">
        <f aca="false">IF(Y168-Z168&lt;0.005,0,Y168-Z168)</f>
        <v>0</v>
      </c>
      <c r="AB168" s="27" t="n">
        <f aca="false">MAX(0,IF(N(AA167)&lt;=0.005,X168,X168+N('Min gæld'!$E$10)-Z168))</f>
        <v>4800</v>
      </c>
      <c r="AC168" s="27" t="n">
        <f aca="false">IF(N(AE167)&lt;=0.005,0,N(AE167)*(1+N('Min gæld'!$D$11)/12))</f>
        <v>0</v>
      </c>
      <c r="AD168" s="27" t="n">
        <f aca="false">IF(AC168&lt;=0,0,MIN(AC168,N('Min gæld'!$E$11)+AB168))</f>
        <v>0</v>
      </c>
      <c r="AE168" s="27" t="n">
        <f aca="false">IF(AC168-AD168&lt;0.005,0,AC168-AD168)</f>
        <v>0</v>
      </c>
      <c r="AF168" s="27" t="n">
        <f aca="false">MAX(0,IF(N(AE167)&lt;=0.005,AB168,AB168+N('Min gæld'!$E$11)-AD168))</f>
        <v>4800</v>
      </c>
      <c r="AG168" s="27" t="n">
        <f aca="false">IF(N(AI167)&lt;=0.005,0,N(AI167)*(1+N('Min gæld'!$D$12)/12))</f>
        <v>0</v>
      </c>
      <c r="AH168" s="27" t="n">
        <f aca="false">IF(AG168&lt;=0,0,MIN(AG168,N('Min gæld'!$E$12)+AF168))</f>
        <v>0</v>
      </c>
      <c r="AI168" s="27" t="n">
        <f aca="false">IF(AG168-AH168&lt;0.005,0,AG168-AH168)</f>
        <v>0</v>
      </c>
      <c r="AJ168" s="27" t="n">
        <f aca="false">G168+K168+O168+S168+W168+AA168+AE168+AI168</f>
        <v>0</v>
      </c>
      <c r="AK168" s="28" t="n">
        <f aca="false">IF(E168&gt;0,E168-N(G167),0)+IF(I168&gt;0,I168-N(K167),0)+IF(M168&gt;0,M168-N(O167),0)+IF(Q168&gt;0,Q168-N(S167),0)+IF(U168&gt;0,U168-N(W167),0)+IF(Y168&gt;0,Y168-N(AA167),0)+IF(AC168&gt;0,AC168-N(AE167),0)+IF(AG168&gt;0,AG168-N(AI167),0)</f>
        <v>0</v>
      </c>
    </row>
    <row r="169" customFormat="false" ht="15" hidden="false" customHeight="false" outlineLevel="0" collapsed="false">
      <c r="A169" s="25" t="n">
        <v>164</v>
      </c>
      <c r="B169" s="26" t="n">
        <f aca="false">EDATE('Min gæld'!$C$16,163)</f>
        <v>51349</v>
      </c>
      <c r="C169" s="27" t="n">
        <f aca="false">N('Min gæld'!$C$15)+IF(N(G168)&lt;=0.005,N('Min gæld'!$E$5),0)+IF(N(K168)&lt;=0.005,N('Min gæld'!$E$6),0)+IF(N(O168)&lt;=0.005,N('Min gæld'!$E$7),0)+IF(N(S168)&lt;=0.005,N('Min gæld'!$E$8),0)+IF(N(W168)&lt;=0.005,N('Min gæld'!$E$9),0)+IF(N(AA168)&lt;=0.005,N('Min gæld'!$E$10),0)+IF(N(AE168)&lt;=0.005,N('Min gæld'!$E$11),0)+IF(N(AI168)&lt;=0.005,N('Min gæld'!$E$12),0)</f>
        <v>4800</v>
      </c>
      <c r="D169" s="27" t="n">
        <f aca="false">MAX(0,C169)</f>
        <v>4800</v>
      </c>
      <c r="E169" s="27" t="n">
        <f aca="false">IF(N(G168)&lt;=0.005,0,N(G168)*(1+N('Min gæld'!$D$5)/12))</f>
        <v>0</v>
      </c>
      <c r="F169" s="27" t="n">
        <f aca="false">IF(E169&lt;=0,0,MIN(E169,N('Min gæld'!$E$5)+D169))</f>
        <v>0</v>
      </c>
      <c r="G169" s="27" t="n">
        <f aca="false">IF(E169-F169&lt;0.005,0,E169-F169)</f>
        <v>0</v>
      </c>
      <c r="H169" s="27" t="n">
        <f aca="false">MAX(0,IF(N(G168)&lt;=0.005,D169,D169+N('Min gæld'!$E$5)-F169))</f>
        <v>4800</v>
      </c>
      <c r="I169" s="27" t="n">
        <f aca="false">IF(N(K168)&lt;=0.005,0,N(K168)*(1+N('Min gæld'!$D$6)/12))</f>
        <v>0</v>
      </c>
      <c r="J169" s="27" t="n">
        <f aca="false">IF(I169&lt;=0,0,MIN(I169,N('Min gæld'!$E$6)+H169))</f>
        <v>0</v>
      </c>
      <c r="K169" s="27" t="n">
        <f aca="false">IF(I169-J169&lt;0.005,0,I169-J169)</f>
        <v>0</v>
      </c>
      <c r="L169" s="27" t="n">
        <f aca="false">MAX(0,IF(N(K168)&lt;=0.005,H169,H169+N('Min gæld'!$E$6)-J169))</f>
        <v>4800</v>
      </c>
      <c r="M169" s="27" t="n">
        <f aca="false">IF(N(O168)&lt;=0.005,0,N(O168)*(1+N('Min gæld'!$D$7)/12))</f>
        <v>0</v>
      </c>
      <c r="N169" s="27" t="n">
        <f aca="false">IF(M169&lt;=0,0,MIN(M169,N('Min gæld'!$E$7)+L169))</f>
        <v>0</v>
      </c>
      <c r="O169" s="27" t="n">
        <f aca="false">IF(M169-N169&lt;0.005,0,M169-N169)</f>
        <v>0</v>
      </c>
      <c r="P169" s="27" t="n">
        <f aca="false">MAX(0,IF(N(O168)&lt;=0.005,L169,L169+N('Min gæld'!$E$7)-N169))</f>
        <v>4800</v>
      </c>
      <c r="Q169" s="27" t="n">
        <f aca="false">IF(N(S168)&lt;=0.005,0,N(S168)*(1+N('Min gæld'!$D$8)/12))</f>
        <v>0</v>
      </c>
      <c r="R169" s="27" t="n">
        <f aca="false">IF(Q169&lt;=0,0,MIN(Q169,N('Min gæld'!$E$8)+P169))</f>
        <v>0</v>
      </c>
      <c r="S169" s="27" t="n">
        <f aca="false">IF(Q169-R169&lt;0.005,0,Q169-R169)</f>
        <v>0</v>
      </c>
      <c r="T169" s="27" t="n">
        <f aca="false">MAX(0,IF(N(S168)&lt;=0.005,P169,P169+N('Min gæld'!$E$8)-R169))</f>
        <v>4800</v>
      </c>
      <c r="U169" s="27" t="n">
        <f aca="false">IF(N(W168)&lt;=0.005,0,N(W168)*(1+N('Min gæld'!$D$9)/12))</f>
        <v>0</v>
      </c>
      <c r="V169" s="27" t="n">
        <f aca="false">IF(U169&lt;=0,0,MIN(U169,N('Min gæld'!$E$9)+T169))</f>
        <v>0</v>
      </c>
      <c r="W169" s="27" t="n">
        <f aca="false">IF(U169-V169&lt;0.005,0,U169-V169)</f>
        <v>0</v>
      </c>
      <c r="X169" s="27" t="n">
        <f aca="false">MAX(0,IF(N(W168)&lt;=0.005,T169,T169+N('Min gæld'!$E$9)-V169))</f>
        <v>4800</v>
      </c>
      <c r="Y169" s="27" t="n">
        <f aca="false">IF(N(AA168)&lt;=0.005,0,N(AA168)*(1+N('Min gæld'!$D$10)/12))</f>
        <v>0</v>
      </c>
      <c r="Z169" s="27" t="n">
        <f aca="false">IF(Y169&lt;=0,0,MIN(Y169,N('Min gæld'!$E$10)+X169))</f>
        <v>0</v>
      </c>
      <c r="AA169" s="27" t="n">
        <f aca="false">IF(Y169-Z169&lt;0.005,0,Y169-Z169)</f>
        <v>0</v>
      </c>
      <c r="AB169" s="27" t="n">
        <f aca="false">MAX(0,IF(N(AA168)&lt;=0.005,X169,X169+N('Min gæld'!$E$10)-Z169))</f>
        <v>4800</v>
      </c>
      <c r="AC169" s="27" t="n">
        <f aca="false">IF(N(AE168)&lt;=0.005,0,N(AE168)*(1+N('Min gæld'!$D$11)/12))</f>
        <v>0</v>
      </c>
      <c r="AD169" s="27" t="n">
        <f aca="false">IF(AC169&lt;=0,0,MIN(AC169,N('Min gæld'!$E$11)+AB169))</f>
        <v>0</v>
      </c>
      <c r="AE169" s="27" t="n">
        <f aca="false">IF(AC169-AD169&lt;0.005,0,AC169-AD169)</f>
        <v>0</v>
      </c>
      <c r="AF169" s="27" t="n">
        <f aca="false">MAX(0,IF(N(AE168)&lt;=0.005,AB169,AB169+N('Min gæld'!$E$11)-AD169))</f>
        <v>4800</v>
      </c>
      <c r="AG169" s="27" t="n">
        <f aca="false">IF(N(AI168)&lt;=0.005,0,N(AI168)*(1+N('Min gæld'!$D$12)/12))</f>
        <v>0</v>
      </c>
      <c r="AH169" s="27" t="n">
        <f aca="false">IF(AG169&lt;=0,0,MIN(AG169,N('Min gæld'!$E$12)+AF169))</f>
        <v>0</v>
      </c>
      <c r="AI169" s="27" t="n">
        <f aca="false">IF(AG169-AH169&lt;0.005,0,AG169-AH169)</f>
        <v>0</v>
      </c>
      <c r="AJ169" s="27" t="n">
        <f aca="false">G169+K169+O169+S169+W169+AA169+AE169+AI169</f>
        <v>0</v>
      </c>
      <c r="AK169" s="28" t="n">
        <f aca="false">IF(E169&gt;0,E169-N(G168),0)+IF(I169&gt;0,I169-N(K168),0)+IF(M169&gt;0,M169-N(O168),0)+IF(Q169&gt;0,Q169-N(S168),0)+IF(U169&gt;0,U169-N(W168),0)+IF(Y169&gt;0,Y169-N(AA168),0)+IF(AC169&gt;0,AC169-N(AE168),0)+IF(AG169&gt;0,AG169-N(AI168),0)</f>
        <v>0</v>
      </c>
    </row>
    <row r="170" customFormat="false" ht="15" hidden="false" customHeight="false" outlineLevel="0" collapsed="false">
      <c r="A170" s="25" t="n">
        <v>165</v>
      </c>
      <c r="B170" s="26" t="n">
        <f aca="false">EDATE('Min gæld'!$C$16,164)</f>
        <v>51380</v>
      </c>
      <c r="C170" s="27" t="n">
        <f aca="false">N('Min gæld'!$C$15)+IF(N(G169)&lt;=0.005,N('Min gæld'!$E$5),0)+IF(N(K169)&lt;=0.005,N('Min gæld'!$E$6),0)+IF(N(O169)&lt;=0.005,N('Min gæld'!$E$7),0)+IF(N(S169)&lt;=0.005,N('Min gæld'!$E$8),0)+IF(N(W169)&lt;=0.005,N('Min gæld'!$E$9),0)+IF(N(AA169)&lt;=0.005,N('Min gæld'!$E$10),0)+IF(N(AE169)&lt;=0.005,N('Min gæld'!$E$11),0)+IF(N(AI169)&lt;=0.005,N('Min gæld'!$E$12),0)</f>
        <v>4800</v>
      </c>
      <c r="D170" s="27" t="n">
        <f aca="false">MAX(0,C170)</f>
        <v>4800</v>
      </c>
      <c r="E170" s="27" t="n">
        <f aca="false">IF(N(G169)&lt;=0.005,0,N(G169)*(1+N('Min gæld'!$D$5)/12))</f>
        <v>0</v>
      </c>
      <c r="F170" s="27" t="n">
        <f aca="false">IF(E170&lt;=0,0,MIN(E170,N('Min gæld'!$E$5)+D170))</f>
        <v>0</v>
      </c>
      <c r="G170" s="27" t="n">
        <f aca="false">IF(E170-F170&lt;0.005,0,E170-F170)</f>
        <v>0</v>
      </c>
      <c r="H170" s="27" t="n">
        <f aca="false">MAX(0,IF(N(G169)&lt;=0.005,D170,D170+N('Min gæld'!$E$5)-F170))</f>
        <v>4800</v>
      </c>
      <c r="I170" s="27" t="n">
        <f aca="false">IF(N(K169)&lt;=0.005,0,N(K169)*(1+N('Min gæld'!$D$6)/12))</f>
        <v>0</v>
      </c>
      <c r="J170" s="27" t="n">
        <f aca="false">IF(I170&lt;=0,0,MIN(I170,N('Min gæld'!$E$6)+H170))</f>
        <v>0</v>
      </c>
      <c r="K170" s="27" t="n">
        <f aca="false">IF(I170-J170&lt;0.005,0,I170-J170)</f>
        <v>0</v>
      </c>
      <c r="L170" s="27" t="n">
        <f aca="false">MAX(0,IF(N(K169)&lt;=0.005,H170,H170+N('Min gæld'!$E$6)-J170))</f>
        <v>4800</v>
      </c>
      <c r="M170" s="27" t="n">
        <f aca="false">IF(N(O169)&lt;=0.005,0,N(O169)*(1+N('Min gæld'!$D$7)/12))</f>
        <v>0</v>
      </c>
      <c r="N170" s="27" t="n">
        <f aca="false">IF(M170&lt;=0,0,MIN(M170,N('Min gæld'!$E$7)+L170))</f>
        <v>0</v>
      </c>
      <c r="O170" s="27" t="n">
        <f aca="false">IF(M170-N170&lt;0.005,0,M170-N170)</f>
        <v>0</v>
      </c>
      <c r="P170" s="27" t="n">
        <f aca="false">MAX(0,IF(N(O169)&lt;=0.005,L170,L170+N('Min gæld'!$E$7)-N170))</f>
        <v>4800</v>
      </c>
      <c r="Q170" s="27" t="n">
        <f aca="false">IF(N(S169)&lt;=0.005,0,N(S169)*(1+N('Min gæld'!$D$8)/12))</f>
        <v>0</v>
      </c>
      <c r="R170" s="27" t="n">
        <f aca="false">IF(Q170&lt;=0,0,MIN(Q170,N('Min gæld'!$E$8)+P170))</f>
        <v>0</v>
      </c>
      <c r="S170" s="27" t="n">
        <f aca="false">IF(Q170-R170&lt;0.005,0,Q170-R170)</f>
        <v>0</v>
      </c>
      <c r="T170" s="27" t="n">
        <f aca="false">MAX(0,IF(N(S169)&lt;=0.005,P170,P170+N('Min gæld'!$E$8)-R170))</f>
        <v>4800</v>
      </c>
      <c r="U170" s="27" t="n">
        <f aca="false">IF(N(W169)&lt;=0.005,0,N(W169)*(1+N('Min gæld'!$D$9)/12))</f>
        <v>0</v>
      </c>
      <c r="V170" s="27" t="n">
        <f aca="false">IF(U170&lt;=0,0,MIN(U170,N('Min gæld'!$E$9)+T170))</f>
        <v>0</v>
      </c>
      <c r="W170" s="27" t="n">
        <f aca="false">IF(U170-V170&lt;0.005,0,U170-V170)</f>
        <v>0</v>
      </c>
      <c r="X170" s="27" t="n">
        <f aca="false">MAX(0,IF(N(W169)&lt;=0.005,T170,T170+N('Min gæld'!$E$9)-V170))</f>
        <v>4800</v>
      </c>
      <c r="Y170" s="27" t="n">
        <f aca="false">IF(N(AA169)&lt;=0.005,0,N(AA169)*(1+N('Min gæld'!$D$10)/12))</f>
        <v>0</v>
      </c>
      <c r="Z170" s="27" t="n">
        <f aca="false">IF(Y170&lt;=0,0,MIN(Y170,N('Min gæld'!$E$10)+X170))</f>
        <v>0</v>
      </c>
      <c r="AA170" s="27" t="n">
        <f aca="false">IF(Y170-Z170&lt;0.005,0,Y170-Z170)</f>
        <v>0</v>
      </c>
      <c r="AB170" s="27" t="n">
        <f aca="false">MAX(0,IF(N(AA169)&lt;=0.005,X170,X170+N('Min gæld'!$E$10)-Z170))</f>
        <v>4800</v>
      </c>
      <c r="AC170" s="27" t="n">
        <f aca="false">IF(N(AE169)&lt;=0.005,0,N(AE169)*(1+N('Min gæld'!$D$11)/12))</f>
        <v>0</v>
      </c>
      <c r="AD170" s="27" t="n">
        <f aca="false">IF(AC170&lt;=0,0,MIN(AC170,N('Min gæld'!$E$11)+AB170))</f>
        <v>0</v>
      </c>
      <c r="AE170" s="27" t="n">
        <f aca="false">IF(AC170-AD170&lt;0.005,0,AC170-AD170)</f>
        <v>0</v>
      </c>
      <c r="AF170" s="27" t="n">
        <f aca="false">MAX(0,IF(N(AE169)&lt;=0.005,AB170,AB170+N('Min gæld'!$E$11)-AD170))</f>
        <v>4800</v>
      </c>
      <c r="AG170" s="27" t="n">
        <f aca="false">IF(N(AI169)&lt;=0.005,0,N(AI169)*(1+N('Min gæld'!$D$12)/12))</f>
        <v>0</v>
      </c>
      <c r="AH170" s="27" t="n">
        <f aca="false">IF(AG170&lt;=0,0,MIN(AG170,N('Min gæld'!$E$12)+AF170))</f>
        <v>0</v>
      </c>
      <c r="AI170" s="27" t="n">
        <f aca="false">IF(AG170-AH170&lt;0.005,0,AG170-AH170)</f>
        <v>0</v>
      </c>
      <c r="AJ170" s="27" t="n">
        <f aca="false">G170+K170+O170+S170+W170+AA170+AE170+AI170</f>
        <v>0</v>
      </c>
      <c r="AK170" s="28" t="n">
        <f aca="false">IF(E170&gt;0,E170-N(G169),0)+IF(I170&gt;0,I170-N(K169),0)+IF(M170&gt;0,M170-N(O169),0)+IF(Q170&gt;0,Q170-N(S169),0)+IF(U170&gt;0,U170-N(W169),0)+IF(Y170&gt;0,Y170-N(AA169),0)+IF(AC170&gt;0,AC170-N(AE169),0)+IF(AG170&gt;0,AG170-N(AI169),0)</f>
        <v>0</v>
      </c>
    </row>
    <row r="171" customFormat="false" ht="15" hidden="false" customHeight="false" outlineLevel="0" collapsed="false">
      <c r="A171" s="25" t="n">
        <v>166</v>
      </c>
      <c r="B171" s="26" t="n">
        <f aca="false">EDATE('Min gæld'!$C$16,165)</f>
        <v>51410</v>
      </c>
      <c r="C171" s="27" t="n">
        <f aca="false">N('Min gæld'!$C$15)+IF(N(G170)&lt;=0.005,N('Min gæld'!$E$5),0)+IF(N(K170)&lt;=0.005,N('Min gæld'!$E$6),0)+IF(N(O170)&lt;=0.005,N('Min gæld'!$E$7),0)+IF(N(S170)&lt;=0.005,N('Min gæld'!$E$8),0)+IF(N(W170)&lt;=0.005,N('Min gæld'!$E$9),0)+IF(N(AA170)&lt;=0.005,N('Min gæld'!$E$10),0)+IF(N(AE170)&lt;=0.005,N('Min gæld'!$E$11),0)+IF(N(AI170)&lt;=0.005,N('Min gæld'!$E$12),0)</f>
        <v>4800</v>
      </c>
      <c r="D171" s="27" t="n">
        <f aca="false">MAX(0,C171)</f>
        <v>4800</v>
      </c>
      <c r="E171" s="27" t="n">
        <f aca="false">IF(N(G170)&lt;=0.005,0,N(G170)*(1+N('Min gæld'!$D$5)/12))</f>
        <v>0</v>
      </c>
      <c r="F171" s="27" t="n">
        <f aca="false">IF(E171&lt;=0,0,MIN(E171,N('Min gæld'!$E$5)+D171))</f>
        <v>0</v>
      </c>
      <c r="G171" s="27" t="n">
        <f aca="false">IF(E171-F171&lt;0.005,0,E171-F171)</f>
        <v>0</v>
      </c>
      <c r="H171" s="27" t="n">
        <f aca="false">MAX(0,IF(N(G170)&lt;=0.005,D171,D171+N('Min gæld'!$E$5)-F171))</f>
        <v>4800</v>
      </c>
      <c r="I171" s="27" t="n">
        <f aca="false">IF(N(K170)&lt;=0.005,0,N(K170)*(1+N('Min gæld'!$D$6)/12))</f>
        <v>0</v>
      </c>
      <c r="J171" s="27" t="n">
        <f aca="false">IF(I171&lt;=0,0,MIN(I171,N('Min gæld'!$E$6)+H171))</f>
        <v>0</v>
      </c>
      <c r="K171" s="27" t="n">
        <f aca="false">IF(I171-J171&lt;0.005,0,I171-J171)</f>
        <v>0</v>
      </c>
      <c r="L171" s="27" t="n">
        <f aca="false">MAX(0,IF(N(K170)&lt;=0.005,H171,H171+N('Min gæld'!$E$6)-J171))</f>
        <v>4800</v>
      </c>
      <c r="M171" s="27" t="n">
        <f aca="false">IF(N(O170)&lt;=0.005,0,N(O170)*(1+N('Min gæld'!$D$7)/12))</f>
        <v>0</v>
      </c>
      <c r="N171" s="27" t="n">
        <f aca="false">IF(M171&lt;=0,0,MIN(M171,N('Min gæld'!$E$7)+L171))</f>
        <v>0</v>
      </c>
      <c r="O171" s="27" t="n">
        <f aca="false">IF(M171-N171&lt;0.005,0,M171-N171)</f>
        <v>0</v>
      </c>
      <c r="P171" s="27" t="n">
        <f aca="false">MAX(0,IF(N(O170)&lt;=0.005,L171,L171+N('Min gæld'!$E$7)-N171))</f>
        <v>4800</v>
      </c>
      <c r="Q171" s="27" t="n">
        <f aca="false">IF(N(S170)&lt;=0.005,0,N(S170)*(1+N('Min gæld'!$D$8)/12))</f>
        <v>0</v>
      </c>
      <c r="R171" s="27" t="n">
        <f aca="false">IF(Q171&lt;=0,0,MIN(Q171,N('Min gæld'!$E$8)+P171))</f>
        <v>0</v>
      </c>
      <c r="S171" s="27" t="n">
        <f aca="false">IF(Q171-R171&lt;0.005,0,Q171-R171)</f>
        <v>0</v>
      </c>
      <c r="T171" s="27" t="n">
        <f aca="false">MAX(0,IF(N(S170)&lt;=0.005,P171,P171+N('Min gæld'!$E$8)-R171))</f>
        <v>4800</v>
      </c>
      <c r="U171" s="27" t="n">
        <f aca="false">IF(N(W170)&lt;=0.005,0,N(W170)*(1+N('Min gæld'!$D$9)/12))</f>
        <v>0</v>
      </c>
      <c r="V171" s="27" t="n">
        <f aca="false">IF(U171&lt;=0,0,MIN(U171,N('Min gæld'!$E$9)+T171))</f>
        <v>0</v>
      </c>
      <c r="W171" s="27" t="n">
        <f aca="false">IF(U171-V171&lt;0.005,0,U171-V171)</f>
        <v>0</v>
      </c>
      <c r="X171" s="27" t="n">
        <f aca="false">MAX(0,IF(N(W170)&lt;=0.005,T171,T171+N('Min gæld'!$E$9)-V171))</f>
        <v>4800</v>
      </c>
      <c r="Y171" s="27" t="n">
        <f aca="false">IF(N(AA170)&lt;=0.005,0,N(AA170)*(1+N('Min gæld'!$D$10)/12))</f>
        <v>0</v>
      </c>
      <c r="Z171" s="27" t="n">
        <f aca="false">IF(Y171&lt;=0,0,MIN(Y171,N('Min gæld'!$E$10)+X171))</f>
        <v>0</v>
      </c>
      <c r="AA171" s="27" t="n">
        <f aca="false">IF(Y171-Z171&lt;0.005,0,Y171-Z171)</f>
        <v>0</v>
      </c>
      <c r="AB171" s="27" t="n">
        <f aca="false">MAX(0,IF(N(AA170)&lt;=0.005,X171,X171+N('Min gæld'!$E$10)-Z171))</f>
        <v>4800</v>
      </c>
      <c r="AC171" s="27" t="n">
        <f aca="false">IF(N(AE170)&lt;=0.005,0,N(AE170)*(1+N('Min gæld'!$D$11)/12))</f>
        <v>0</v>
      </c>
      <c r="AD171" s="27" t="n">
        <f aca="false">IF(AC171&lt;=0,0,MIN(AC171,N('Min gæld'!$E$11)+AB171))</f>
        <v>0</v>
      </c>
      <c r="AE171" s="27" t="n">
        <f aca="false">IF(AC171-AD171&lt;0.005,0,AC171-AD171)</f>
        <v>0</v>
      </c>
      <c r="AF171" s="27" t="n">
        <f aca="false">MAX(0,IF(N(AE170)&lt;=0.005,AB171,AB171+N('Min gæld'!$E$11)-AD171))</f>
        <v>4800</v>
      </c>
      <c r="AG171" s="27" t="n">
        <f aca="false">IF(N(AI170)&lt;=0.005,0,N(AI170)*(1+N('Min gæld'!$D$12)/12))</f>
        <v>0</v>
      </c>
      <c r="AH171" s="27" t="n">
        <f aca="false">IF(AG171&lt;=0,0,MIN(AG171,N('Min gæld'!$E$12)+AF171))</f>
        <v>0</v>
      </c>
      <c r="AI171" s="27" t="n">
        <f aca="false">IF(AG171-AH171&lt;0.005,0,AG171-AH171)</f>
        <v>0</v>
      </c>
      <c r="AJ171" s="27" t="n">
        <f aca="false">G171+K171+O171+S171+W171+AA171+AE171+AI171</f>
        <v>0</v>
      </c>
      <c r="AK171" s="28" t="n">
        <f aca="false">IF(E171&gt;0,E171-N(G170),0)+IF(I171&gt;0,I171-N(K170),0)+IF(M171&gt;0,M171-N(O170),0)+IF(Q171&gt;0,Q171-N(S170),0)+IF(U171&gt;0,U171-N(W170),0)+IF(Y171&gt;0,Y171-N(AA170),0)+IF(AC171&gt;0,AC171-N(AE170),0)+IF(AG171&gt;0,AG171-N(AI170),0)</f>
        <v>0</v>
      </c>
    </row>
    <row r="172" customFormat="false" ht="15" hidden="false" customHeight="false" outlineLevel="0" collapsed="false">
      <c r="A172" s="25" t="n">
        <v>167</v>
      </c>
      <c r="B172" s="26" t="n">
        <f aca="false">EDATE('Min gæld'!$C$16,166)</f>
        <v>51441</v>
      </c>
      <c r="C172" s="27" t="n">
        <f aca="false">N('Min gæld'!$C$15)+IF(N(G171)&lt;=0.005,N('Min gæld'!$E$5),0)+IF(N(K171)&lt;=0.005,N('Min gæld'!$E$6),0)+IF(N(O171)&lt;=0.005,N('Min gæld'!$E$7),0)+IF(N(S171)&lt;=0.005,N('Min gæld'!$E$8),0)+IF(N(W171)&lt;=0.005,N('Min gæld'!$E$9),0)+IF(N(AA171)&lt;=0.005,N('Min gæld'!$E$10),0)+IF(N(AE171)&lt;=0.005,N('Min gæld'!$E$11),0)+IF(N(AI171)&lt;=0.005,N('Min gæld'!$E$12),0)</f>
        <v>4800</v>
      </c>
      <c r="D172" s="27" t="n">
        <f aca="false">MAX(0,C172)</f>
        <v>4800</v>
      </c>
      <c r="E172" s="27" t="n">
        <f aca="false">IF(N(G171)&lt;=0.005,0,N(G171)*(1+N('Min gæld'!$D$5)/12))</f>
        <v>0</v>
      </c>
      <c r="F172" s="27" t="n">
        <f aca="false">IF(E172&lt;=0,0,MIN(E172,N('Min gæld'!$E$5)+D172))</f>
        <v>0</v>
      </c>
      <c r="G172" s="27" t="n">
        <f aca="false">IF(E172-F172&lt;0.005,0,E172-F172)</f>
        <v>0</v>
      </c>
      <c r="H172" s="27" t="n">
        <f aca="false">MAX(0,IF(N(G171)&lt;=0.005,D172,D172+N('Min gæld'!$E$5)-F172))</f>
        <v>4800</v>
      </c>
      <c r="I172" s="27" t="n">
        <f aca="false">IF(N(K171)&lt;=0.005,0,N(K171)*(1+N('Min gæld'!$D$6)/12))</f>
        <v>0</v>
      </c>
      <c r="J172" s="27" t="n">
        <f aca="false">IF(I172&lt;=0,0,MIN(I172,N('Min gæld'!$E$6)+H172))</f>
        <v>0</v>
      </c>
      <c r="K172" s="27" t="n">
        <f aca="false">IF(I172-J172&lt;0.005,0,I172-J172)</f>
        <v>0</v>
      </c>
      <c r="L172" s="27" t="n">
        <f aca="false">MAX(0,IF(N(K171)&lt;=0.005,H172,H172+N('Min gæld'!$E$6)-J172))</f>
        <v>4800</v>
      </c>
      <c r="M172" s="27" t="n">
        <f aca="false">IF(N(O171)&lt;=0.005,0,N(O171)*(1+N('Min gæld'!$D$7)/12))</f>
        <v>0</v>
      </c>
      <c r="N172" s="27" t="n">
        <f aca="false">IF(M172&lt;=0,0,MIN(M172,N('Min gæld'!$E$7)+L172))</f>
        <v>0</v>
      </c>
      <c r="O172" s="27" t="n">
        <f aca="false">IF(M172-N172&lt;0.005,0,M172-N172)</f>
        <v>0</v>
      </c>
      <c r="P172" s="27" t="n">
        <f aca="false">MAX(0,IF(N(O171)&lt;=0.005,L172,L172+N('Min gæld'!$E$7)-N172))</f>
        <v>4800</v>
      </c>
      <c r="Q172" s="27" t="n">
        <f aca="false">IF(N(S171)&lt;=0.005,0,N(S171)*(1+N('Min gæld'!$D$8)/12))</f>
        <v>0</v>
      </c>
      <c r="R172" s="27" t="n">
        <f aca="false">IF(Q172&lt;=0,0,MIN(Q172,N('Min gæld'!$E$8)+P172))</f>
        <v>0</v>
      </c>
      <c r="S172" s="27" t="n">
        <f aca="false">IF(Q172-R172&lt;0.005,0,Q172-R172)</f>
        <v>0</v>
      </c>
      <c r="T172" s="27" t="n">
        <f aca="false">MAX(0,IF(N(S171)&lt;=0.005,P172,P172+N('Min gæld'!$E$8)-R172))</f>
        <v>4800</v>
      </c>
      <c r="U172" s="27" t="n">
        <f aca="false">IF(N(W171)&lt;=0.005,0,N(W171)*(1+N('Min gæld'!$D$9)/12))</f>
        <v>0</v>
      </c>
      <c r="V172" s="27" t="n">
        <f aca="false">IF(U172&lt;=0,0,MIN(U172,N('Min gæld'!$E$9)+T172))</f>
        <v>0</v>
      </c>
      <c r="W172" s="27" t="n">
        <f aca="false">IF(U172-V172&lt;0.005,0,U172-V172)</f>
        <v>0</v>
      </c>
      <c r="X172" s="27" t="n">
        <f aca="false">MAX(0,IF(N(W171)&lt;=0.005,T172,T172+N('Min gæld'!$E$9)-V172))</f>
        <v>4800</v>
      </c>
      <c r="Y172" s="27" t="n">
        <f aca="false">IF(N(AA171)&lt;=0.005,0,N(AA171)*(1+N('Min gæld'!$D$10)/12))</f>
        <v>0</v>
      </c>
      <c r="Z172" s="27" t="n">
        <f aca="false">IF(Y172&lt;=0,0,MIN(Y172,N('Min gæld'!$E$10)+X172))</f>
        <v>0</v>
      </c>
      <c r="AA172" s="27" t="n">
        <f aca="false">IF(Y172-Z172&lt;0.005,0,Y172-Z172)</f>
        <v>0</v>
      </c>
      <c r="AB172" s="27" t="n">
        <f aca="false">MAX(0,IF(N(AA171)&lt;=0.005,X172,X172+N('Min gæld'!$E$10)-Z172))</f>
        <v>4800</v>
      </c>
      <c r="AC172" s="27" t="n">
        <f aca="false">IF(N(AE171)&lt;=0.005,0,N(AE171)*(1+N('Min gæld'!$D$11)/12))</f>
        <v>0</v>
      </c>
      <c r="AD172" s="27" t="n">
        <f aca="false">IF(AC172&lt;=0,0,MIN(AC172,N('Min gæld'!$E$11)+AB172))</f>
        <v>0</v>
      </c>
      <c r="AE172" s="27" t="n">
        <f aca="false">IF(AC172-AD172&lt;0.005,0,AC172-AD172)</f>
        <v>0</v>
      </c>
      <c r="AF172" s="27" t="n">
        <f aca="false">MAX(0,IF(N(AE171)&lt;=0.005,AB172,AB172+N('Min gæld'!$E$11)-AD172))</f>
        <v>4800</v>
      </c>
      <c r="AG172" s="27" t="n">
        <f aca="false">IF(N(AI171)&lt;=0.005,0,N(AI171)*(1+N('Min gæld'!$D$12)/12))</f>
        <v>0</v>
      </c>
      <c r="AH172" s="27" t="n">
        <f aca="false">IF(AG172&lt;=0,0,MIN(AG172,N('Min gæld'!$E$12)+AF172))</f>
        <v>0</v>
      </c>
      <c r="AI172" s="27" t="n">
        <f aca="false">IF(AG172-AH172&lt;0.005,0,AG172-AH172)</f>
        <v>0</v>
      </c>
      <c r="AJ172" s="27" t="n">
        <f aca="false">G172+K172+O172+S172+W172+AA172+AE172+AI172</f>
        <v>0</v>
      </c>
      <c r="AK172" s="28" t="n">
        <f aca="false">IF(E172&gt;0,E172-N(G171),0)+IF(I172&gt;0,I172-N(K171),0)+IF(M172&gt;0,M172-N(O171),0)+IF(Q172&gt;0,Q172-N(S171),0)+IF(U172&gt;0,U172-N(W171),0)+IF(Y172&gt;0,Y172-N(AA171),0)+IF(AC172&gt;0,AC172-N(AE171),0)+IF(AG172&gt;0,AG172-N(AI171),0)</f>
        <v>0</v>
      </c>
    </row>
    <row r="173" customFormat="false" ht="15" hidden="false" customHeight="false" outlineLevel="0" collapsed="false">
      <c r="A173" s="25" t="n">
        <v>168</v>
      </c>
      <c r="B173" s="26" t="n">
        <f aca="false">EDATE('Min gæld'!$C$16,167)</f>
        <v>51471</v>
      </c>
      <c r="C173" s="27" t="n">
        <f aca="false">N('Min gæld'!$C$15)+IF(N(G172)&lt;=0.005,N('Min gæld'!$E$5),0)+IF(N(K172)&lt;=0.005,N('Min gæld'!$E$6),0)+IF(N(O172)&lt;=0.005,N('Min gæld'!$E$7),0)+IF(N(S172)&lt;=0.005,N('Min gæld'!$E$8),0)+IF(N(W172)&lt;=0.005,N('Min gæld'!$E$9),0)+IF(N(AA172)&lt;=0.005,N('Min gæld'!$E$10),0)+IF(N(AE172)&lt;=0.005,N('Min gæld'!$E$11),0)+IF(N(AI172)&lt;=0.005,N('Min gæld'!$E$12),0)</f>
        <v>4800</v>
      </c>
      <c r="D173" s="27" t="n">
        <f aca="false">MAX(0,C173)</f>
        <v>4800</v>
      </c>
      <c r="E173" s="27" t="n">
        <f aca="false">IF(N(G172)&lt;=0.005,0,N(G172)*(1+N('Min gæld'!$D$5)/12))</f>
        <v>0</v>
      </c>
      <c r="F173" s="27" t="n">
        <f aca="false">IF(E173&lt;=0,0,MIN(E173,N('Min gæld'!$E$5)+D173))</f>
        <v>0</v>
      </c>
      <c r="G173" s="27" t="n">
        <f aca="false">IF(E173-F173&lt;0.005,0,E173-F173)</f>
        <v>0</v>
      </c>
      <c r="H173" s="27" t="n">
        <f aca="false">MAX(0,IF(N(G172)&lt;=0.005,D173,D173+N('Min gæld'!$E$5)-F173))</f>
        <v>4800</v>
      </c>
      <c r="I173" s="27" t="n">
        <f aca="false">IF(N(K172)&lt;=0.005,0,N(K172)*(1+N('Min gæld'!$D$6)/12))</f>
        <v>0</v>
      </c>
      <c r="J173" s="27" t="n">
        <f aca="false">IF(I173&lt;=0,0,MIN(I173,N('Min gæld'!$E$6)+H173))</f>
        <v>0</v>
      </c>
      <c r="K173" s="27" t="n">
        <f aca="false">IF(I173-J173&lt;0.005,0,I173-J173)</f>
        <v>0</v>
      </c>
      <c r="L173" s="27" t="n">
        <f aca="false">MAX(0,IF(N(K172)&lt;=0.005,H173,H173+N('Min gæld'!$E$6)-J173))</f>
        <v>4800</v>
      </c>
      <c r="M173" s="27" t="n">
        <f aca="false">IF(N(O172)&lt;=0.005,0,N(O172)*(1+N('Min gæld'!$D$7)/12))</f>
        <v>0</v>
      </c>
      <c r="N173" s="27" t="n">
        <f aca="false">IF(M173&lt;=0,0,MIN(M173,N('Min gæld'!$E$7)+L173))</f>
        <v>0</v>
      </c>
      <c r="O173" s="27" t="n">
        <f aca="false">IF(M173-N173&lt;0.005,0,M173-N173)</f>
        <v>0</v>
      </c>
      <c r="P173" s="27" t="n">
        <f aca="false">MAX(0,IF(N(O172)&lt;=0.005,L173,L173+N('Min gæld'!$E$7)-N173))</f>
        <v>4800</v>
      </c>
      <c r="Q173" s="27" t="n">
        <f aca="false">IF(N(S172)&lt;=0.005,0,N(S172)*(1+N('Min gæld'!$D$8)/12))</f>
        <v>0</v>
      </c>
      <c r="R173" s="27" t="n">
        <f aca="false">IF(Q173&lt;=0,0,MIN(Q173,N('Min gæld'!$E$8)+P173))</f>
        <v>0</v>
      </c>
      <c r="S173" s="27" t="n">
        <f aca="false">IF(Q173-R173&lt;0.005,0,Q173-R173)</f>
        <v>0</v>
      </c>
      <c r="T173" s="27" t="n">
        <f aca="false">MAX(0,IF(N(S172)&lt;=0.005,P173,P173+N('Min gæld'!$E$8)-R173))</f>
        <v>4800</v>
      </c>
      <c r="U173" s="27" t="n">
        <f aca="false">IF(N(W172)&lt;=0.005,0,N(W172)*(1+N('Min gæld'!$D$9)/12))</f>
        <v>0</v>
      </c>
      <c r="V173" s="27" t="n">
        <f aca="false">IF(U173&lt;=0,0,MIN(U173,N('Min gæld'!$E$9)+T173))</f>
        <v>0</v>
      </c>
      <c r="W173" s="27" t="n">
        <f aca="false">IF(U173-V173&lt;0.005,0,U173-V173)</f>
        <v>0</v>
      </c>
      <c r="X173" s="27" t="n">
        <f aca="false">MAX(0,IF(N(W172)&lt;=0.005,T173,T173+N('Min gæld'!$E$9)-V173))</f>
        <v>4800</v>
      </c>
      <c r="Y173" s="27" t="n">
        <f aca="false">IF(N(AA172)&lt;=0.005,0,N(AA172)*(1+N('Min gæld'!$D$10)/12))</f>
        <v>0</v>
      </c>
      <c r="Z173" s="27" t="n">
        <f aca="false">IF(Y173&lt;=0,0,MIN(Y173,N('Min gæld'!$E$10)+X173))</f>
        <v>0</v>
      </c>
      <c r="AA173" s="27" t="n">
        <f aca="false">IF(Y173-Z173&lt;0.005,0,Y173-Z173)</f>
        <v>0</v>
      </c>
      <c r="AB173" s="27" t="n">
        <f aca="false">MAX(0,IF(N(AA172)&lt;=0.005,X173,X173+N('Min gæld'!$E$10)-Z173))</f>
        <v>4800</v>
      </c>
      <c r="AC173" s="27" t="n">
        <f aca="false">IF(N(AE172)&lt;=0.005,0,N(AE172)*(1+N('Min gæld'!$D$11)/12))</f>
        <v>0</v>
      </c>
      <c r="AD173" s="27" t="n">
        <f aca="false">IF(AC173&lt;=0,0,MIN(AC173,N('Min gæld'!$E$11)+AB173))</f>
        <v>0</v>
      </c>
      <c r="AE173" s="27" t="n">
        <f aca="false">IF(AC173-AD173&lt;0.005,0,AC173-AD173)</f>
        <v>0</v>
      </c>
      <c r="AF173" s="27" t="n">
        <f aca="false">MAX(0,IF(N(AE172)&lt;=0.005,AB173,AB173+N('Min gæld'!$E$11)-AD173))</f>
        <v>4800</v>
      </c>
      <c r="AG173" s="27" t="n">
        <f aca="false">IF(N(AI172)&lt;=0.005,0,N(AI172)*(1+N('Min gæld'!$D$12)/12))</f>
        <v>0</v>
      </c>
      <c r="AH173" s="27" t="n">
        <f aca="false">IF(AG173&lt;=0,0,MIN(AG173,N('Min gæld'!$E$12)+AF173))</f>
        <v>0</v>
      </c>
      <c r="AI173" s="27" t="n">
        <f aca="false">IF(AG173-AH173&lt;0.005,0,AG173-AH173)</f>
        <v>0</v>
      </c>
      <c r="AJ173" s="27" t="n">
        <f aca="false">G173+K173+O173+S173+W173+AA173+AE173+AI173</f>
        <v>0</v>
      </c>
      <c r="AK173" s="28" t="n">
        <f aca="false">IF(E173&gt;0,E173-N(G172),0)+IF(I173&gt;0,I173-N(K172),0)+IF(M173&gt;0,M173-N(O172),0)+IF(Q173&gt;0,Q173-N(S172),0)+IF(U173&gt;0,U173-N(W172),0)+IF(Y173&gt;0,Y173-N(AA172),0)+IF(AC173&gt;0,AC173-N(AE172),0)+IF(AG173&gt;0,AG173-N(AI172),0)</f>
        <v>0</v>
      </c>
    </row>
    <row r="174" customFormat="false" ht="15" hidden="false" customHeight="false" outlineLevel="0" collapsed="false">
      <c r="A174" s="25" t="n">
        <v>169</v>
      </c>
      <c r="B174" s="26" t="n">
        <f aca="false">EDATE('Min gæld'!$C$16,168)</f>
        <v>51502</v>
      </c>
      <c r="C174" s="27" t="n">
        <f aca="false">N('Min gæld'!$C$15)+IF(N(G173)&lt;=0.005,N('Min gæld'!$E$5),0)+IF(N(K173)&lt;=0.005,N('Min gæld'!$E$6),0)+IF(N(O173)&lt;=0.005,N('Min gæld'!$E$7),0)+IF(N(S173)&lt;=0.005,N('Min gæld'!$E$8),0)+IF(N(W173)&lt;=0.005,N('Min gæld'!$E$9),0)+IF(N(AA173)&lt;=0.005,N('Min gæld'!$E$10),0)+IF(N(AE173)&lt;=0.005,N('Min gæld'!$E$11),0)+IF(N(AI173)&lt;=0.005,N('Min gæld'!$E$12),0)</f>
        <v>4800</v>
      </c>
      <c r="D174" s="27" t="n">
        <f aca="false">MAX(0,C174)</f>
        <v>4800</v>
      </c>
      <c r="E174" s="27" t="n">
        <f aca="false">IF(N(G173)&lt;=0.005,0,N(G173)*(1+N('Min gæld'!$D$5)/12))</f>
        <v>0</v>
      </c>
      <c r="F174" s="27" t="n">
        <f aca="false">IF(E174&lt;=0,0,MIN(E174,N('Min gæld'!$E$5)+D174))</f>
        <v>0</v>
      </c>
      <c r="G174" s="27" t="n">
        <f aca="false">IF(E174-F174&lt;0.005,0,E174-F174)</f>
        <v>0</v>
      </c>
      <c r="H174" s="27" t="n">
        <f aca="false">MAX(0,IF(N(G173)&lt;=0.005,D174,D174+N('Min gæld'!$E$5)-F174))</f>
        <v>4800</v>
      </c>
      <c r="I174" s="27" t="n">
        <f aca="false">IF(N(K173)&lt;=0.005,0,N(K173)*(1+N('Min gæld'!$D$6)/12))</f>
        <v>0</v>
      </c>
      <c r="J174" s="27" t="n">
        <f aca="false">IF(I174&lt;=0,0,MIN(I174,N('Min gæld'!$E$6)+H174))</f>
        <v>0</v>
      </c>
      <c r="K174" s="27" t="n">
        <f aca="false">IF(I174-J174&lt;0.005,0,I174-J174)</f>
        <v>0</v>
      </c>
      <c r="L174" s="27" t="n">
        <f aca="false">MAX(0,IF(N(K173)&lt;=0.005,H174,H174+N('Min gæld'!$E$6)-J174))</f>
        <v>4800</v>
      </c>
      <c r="M174" s="27" t="n">
        <f aca="false">IF(N(O173)&lt;=0.005,0,N(O173)*(1+N('Min gæld'!$D$7)/12))</f>
        <v>0</v>
      </c>
      <c r="N174" s="27" t="n">
        <f aca="false">IF(M174&lt;=0,0,MIN(M174,N('Min gæld'!$E$7)+L174))</f>
        <v>0</v>
      </c>
      <c r="O174" s="27" t="n">
        <f aca="false">IF(M174-N174&lt;0.005,0,M174-N174)</f>
        <v>0</v>
      </c>
      <c r="P174" s="27" t="n">
        <f aca="false">MAX(0,IF(N(O173)&lt;=0.005,L174,L174+N('Min gæld'!$E$7)-N174))</f>
        <v>4800</v>
      </c>
      <c r="Q174" s="27" t="n">
        <f aca="false">IF(N(S173)&lt;=0.005,0,N(S173)*(1+N('Min gæld'!$D$8)/12))</f>
        <v>0</v>
      </c>
      <c r="R174" s="27" t="n">
        <f aca="false">IF(Q174&lt;=0,0,MIN(Q174,N('Min gæld'!$E$8)+P174))</f>
        <v>0</v>
      </c>
      <c r="S174" s="27" t="n">
        <f aca="false">IF(Q174-R174&lt;0.005,0,Q174-R174)</f>
        <v>0</v>
      </c>
      <c r="T174" s="27" t="n">
        <f aca="false">MAX(0,IF(N(S173)&lt;=0.005,P174,P174+N('Min gæld'!$E$8)-R174))</f>
        <v>4800</v>
      </c>
      <c r="U174" s="27" t="n">
        <f aca="false">IF(N(W173)&lt;=0.005,0,N(W173)*(1+N('Min gæld'!$D$9)/12))</f>
        <v>0</v>
      </c>
      <c r="V174" s="27" t="n">
        <f aca="false">IF(U174&lt;=0,0,MIN(U174,N('Min gæld'!$E$9)+T174))</f>
        <v>0</v>
      </c>
      <c r="W174" s="27" t="n">
        <f aca="false">IF(U174-V174&lt;0.005,0,U174-V174)</f>
        <v>0</v>
      </c>
      <c r="X174" s="27" t="n">
        <f aca="false">MAX(0,IF(N(W173)&lt;=0.005,T174,T174+N('Min gæld'!$E$9)-V174))</f>
        <v>4800</v>
      </c>
      <c r="Y174" s="27" t="n">
        <f aca="false">IF(N(AA173)&lt;=0.005,0,N(AA173)*(1+N('Min gæld'!$D$10)/12))</f>
        <v>0</v>
      </c>
      <c r="Z174" s="27" t="n">
        <f aca="false">IF(Y174&lt;=0,0,MIN(Y174,N('Min gæld'!$E$10)+X174))</f>
        <v>0</v>
      </c>
      <c r="AA174" s="27" t="n">
        <f aca="false">IF(Y174-Z174&lt;0.005,0,Y174-Z174)</f>
        <v>0</v>
      </c>
      <c r="AB174" s="27" t="n">
        <f aca="false">MAX(0,IF(N(AA173)&lt;=0.005,X174,X174+N('Min gæld'!$E$10)-Z174))</f>
        <v>4800</v>
      </c>
      <c r="AC174" s="27" t="n">
        <f aca="false">IF(N(AE173)&lt;=0.005,0,N(AE173)*(1+N('Min gæld'!$D$11)/12))</f>
        <v>0</v>
      </c>
      <c r="AD174" s="27" t="n">
        <f aca="false">IF(AC174&lt;=0,0,MIN(AC174,N('Min gæld'!$E$11)+AB174))</f>
        <v>0</v>
      </c>
      <c r="AE174" s="27" t="n">
        <f aca="false">IF(AC174-AD174&lt;0.005,0,AC174-AD174)</f>
        <v>0</v>
      </c>
      <c r="AF174" s="27" t="n">
        <f aca="false">MAX(0,IF(N(AE173)&lt;=0.005,AB174,AB174+N('Min gæld'!$E$11)-AD174))</f>
        <v>4800</v>
      </c>
      <c r="AG174" s="27" t="n">
        <f aca="false">IF(N(AI173)&lt;=0.005,0,N(AI173)*(1+N('Min gæld'!$D$12)/12))</f>
        <v>0</v>
      </c>
      <c r="AH174" s="27" t="n">
        <f aca="false">IF(AG174&lt;=0,0,MIN(AG174,N('Min gæld'!$E$12)+AF174))</f>
        <v>0</v>
      </c>
      <c r="AI174" s="27" t="n">
        <f aca="false">IF(AG174-AH174&lt;0.005,0,AG174-AH174)</f>
        <v>0</v>
      </c>
      <c r="AJ174" s="27" t="n">
        <f aca="false">G174+K174+O174+S174+W174+AA174+AE174+AI174</f>
        <v>0</v>
      </c>
      <c r="AK174" s="28" t="n">
        <f aca="false">IF(E174&gt;0,E174-N(G173),0)+IF(I174&gt;0,I174-N(K173),0)+IF(M174&gt;0,M174-N(O173),0)+IF(Q174&gt;0,Q174-N(S173),0)+IF(U174&gt;0,U174-N(W173),0)+IF(Y174&gt;0,Y174-N(AA173),0)+IF(AC174&gt;0,AC174-N(AE173),0)+IF(AG174&gt;0,AG174-N(AI173),0)</f>
        <v>0</v>
      </c>
    </row>
    <row r="175" customFormat="false" ht="15" hidden="false" customHeight="false" outlineLevel="0" collapsed="false">
      <c r="A175" s="25" t="n">
        <v>170</v>
      </c>
      <c r="B175" s="26" t="n">
        <f aca="false">EDATE('Min gæld'!$C$16,169)</f>
        <v>51533</v>
      </c>
      <c r="C175" s="27" t="n">
        <f aca="false">N('Min gæld'!$C$15)+IF(N(G174)&lt;=0.005,N('Min gæld'!$E$5),0)+IF(N(K174)&lt;=0.005,N('Min gæld'!$E$6),0)+IF(N(O174)&lt;=0.005,N('Min gæld'!$E$7),0)+IF(N(S174)&lt;=0.005,N('Min gæld'!$E$8),0)+IF(N(W174)&lt;=0.005,N('Min gæld'!$E$9),0)+IF(N(AA174)&lt;=0.005,N('Min gæld'!$E$10),0)+IF(N(AE174)&lt;=0.005,N('Min gæld'!$E$11),0)+IF(N(AI174)&lt;=0.005,N('Min gæld'!$E$12),0)</f>
        <v>4800</v>
      </c>
      <c r="D175" s="27" t="n">
        <f aca="false">MAX(0,C175)</f>
        <v>4800</v>
      </c>
      <c r="E175" s="27" t="n">
        <f aca="false">IF(N(G174)&lt;=0.005,0,N(G174)*(1+N('Min gæld'!$D$5)/12))</f>
        <v>0</v>
      </c>
      <c r="F175" s="27" t="n">
        <f aca="false">IF(E175&lt;=0,0,MIN(E175,N('Min gæld'!$E$5)+D175))</f>
        <v>0</v>
      </c>
      <c r="G175" s="27" t="n">
        <f aca="false">IF(E175-F175&lt;0.005,0,E175-F175)</f>
        <v>0</v>
      </c>
      <c r="H175" s="27" t="n">
        <f aca="false">MAX(0,IF(N(G174)&lt;=0.005,D175,D175+N('Min gæld'!$E$5)-F175))</f>
        <v>4800</v>
      </c>
      <c r="I175" s="27" t="n">
        <f aca="false">IF(N(K174)&lt;=0.005,0,N(K174)*(1+N('Min gæld'!$D$6)/12))</f>
        <v>0</v>
      </c>
      <c r="J175" s="27" t="n">
        <f aca="false">IF(I175&lt;=0,0,MIN(I175,N('Min gæld'!$E$6)+H175))</f>
        <v>0</v>
      </c>
      <c r="K175" s="27" t="n">
        <f aca="false">IF(I175-J175&lt;0.005,0,I175-J175)</f>
        <v>0</v>
      </c>
      <c r="L175" s="27" t="n">
        <f aca="false">MAX(0,IF(N(K174)&lt;=0.005,H175,H175+N('Min gæld'!$E$6)-J175))</f>
        <v>4800</v>
      </c>
      <c r="M175" s="27" t="n">
        <f aca="false">IF(N(O174)&lt;=0.005,0,N(O174)*(1+N('Min gæld'!$D$7)/12))</f>
        <v>0</v>
      </c>
      <c r="N175" s="27" t="n">
        <f aca="false">IF(M175&lt;=0,0,MIN(M175,N('Min gæld'!$E$7)+L175))</f>
        <v>0</v>
      </c>
      <c r="O175" s="27" t="n">
        <f aca="false">IF(M175-N175&lt;0.005,0,M175-N175)</f>
        <v>0</v>
      </c>
      <c r="P175" s="27" t="n">
        <f aca="false">MAX(0,IF(N(O174)&lt;=0.005,L175,L175+N('Min gæld'!$E$7)-N175))</f>
        <v>4800</v>
      </c>
      <c r="Q175" s="27" t="n">
        <f aca="false">IF(N(S174)&lt;=0.005,0,N(S174)*(1+N('Min gæld'!$D$8)/12))</f>
        <v>0</v>
      </c>
      <c r="R175" s="27" t="n">
        <f aca="false">IF(Q175&lt;=0,0,MIN(Q175,N('Min gæld'!$E$8)+P175))</f>
        <v>0</v>
      </c>
      <c r="S175" s="27" t="n">
        <f aca="false">IF(Q175-R175&lt;0.005,0,Q175-R175)</f>
        <v>0</v>
      </c>
      <c r="T175" s="27" t="n">
        <f aca="false">MAX(0,IF(N(S174)&lt;=0.005,P175,P175+N('Min gæld'!$E$8)-R175))</f>
        <v>4800</v>
      </c>
      <c r="U175" s="27" t="n">
        <f aca="false">IF(N(W174)&lt;=0.005,0,N(W174)*(1+N('Min gæld'!$D$9)/12))</f>
        <v>0</v>
      </c>
      <c r="V175" s="27" t="n">
        <f aca="false">IF(U175&lt;=0,0,MIN(U175,N('Min gæld'!$E$9)+T175))</f>
        <v>0</v>
      </c>
      <c r="W175" s="27" t="n">
        <f aca="false">IF(U175-V175&lt;0.005,0,U175-V175)</f>
        <v>0</v>
      </c>
      <c r="X175" s="27" t="n">
        <f aca="false">MAX(0,IF(N(W174)&lt;=0.005,T175,T175+N('Min gæld'!$E$9)-V175))</f>
        <v>4800</v>
      </c>
      <c r="Y175" s="27" t="n">
        <f aca="false">IF(N(AA174)&lt;=0.005,0,N(AA174)*(1+N('Min gæld'!$D$10)/12))</f>
        <v>0</v>
      </c>
      <c r="Z175" s="27" t="n">
        <f aca="false">IF(Y175&lt;=0,0,MIN(Y175,N('Min gæld'!$E$10)+X175))</f>
        <v>0</v>
      </c>
      <c r="AA175" s="27" t="n">
        <f aca="false">IF(Y175-Z175&lt;0.005,0,Y175-Z175)</f>
        <v>0</v>
      </c>
      <c r="AB175" s="27" t="n">
        <f aca="false">MAX(0,IF(N(AA174)&lt;=0.005,X175,X175+N('Min gæld'!$E$10)-Z175))</f>
        <v>4800</v>
      </c>
      <c r="AC175" s="27" t="n">
        <f aca="false">IF(N(AE174)&lt;=0.005,0,N(AE174)*(1+N('Min gæld'!$D$11)/12))</f>
        <v>0</v>
      </c>
      <c r="AD175" s="27" t="n">
        <f aca="false">IF(AC175&lt;=0,0,MIN(AC175,N('Min gæld'!$E$11)+AB175))</f>
        <v>0</v>
      </c>
      <c r="AE175" s="27" t="n">
        <f aca="false">IF(AC175-AD175&lt;0.005,0,AC175-AD175)</f>
        <v>0</v>
      </c>
      <c r="AF175" s="27" t="n">
        <f aca="false">MAX(0,IF(N(AE174)&lt;=0.005,AB175,AB175+N('Min gæld'!$E$11)-AD175))</f>
        <v>4800</v>
      </c>
      <c r="AG175" s="27" t="n">
        <f aca="false">IF(N(AI174)&lt;=0.005,0,N(AI174)*(1+N('Min gæld'!$D$12)/12))</f>
        <v>0</v>
      </c>
      <c r="AH175" s="27" t="n">
        <f aca="false">IF(AG175&lt;=0,0,MIN(AG175,N('Min gæld'!$E$12)+AF175))</f>
        <v>0</v>
      </c>
      <c r="AI175" s="27" t="n">
        <f aca="false">IF(AG175-AH175&lt;0.005,0,AG175-AH175)</f>
        <v>0</v>
      </c>
      <c r="AJ175" s="27" t="n">
        <f aca="false">G175+K175+O175+S175+W175+AA175+AE175+AI175</f>
        <v>0</v>
      </c>
      <c r="AK175" s="28" t="n">
        <f aca="false">IF(E175&gt;0,E175-N(G174),0)+IF(I175&gt;0,I175-N(K174),0)+IF(M175&gt;0,M175-N(O174),0)+IF(Q175&gt;0,Q175-N(S174),0)+IF(U175&gt;0,U175-N(W174),0)+IF(Y175&gt;0,Y175-N(AA174),0)+IF(AC175&gt;0,AC175-N(AE174),0)+IF(AG175&gt;0,AG175-N(AI174),0)</f>
        <v>0</v>
      </c>
    </row>
    <row r="176" customFormat="false" ht="15" hidden="false" customHeight="false" outlineLevel="0" collapsed="false">
      <c r="A176" s="25" t="n">
        <v>171</v>
      </c>
      <c r="B176" s="26" t="n">
        <f aca="false">EDATE('Min gæld'!$C$16,170)</f>
        <v>51561</v>
      </c>
      <c r="C176" s="27" t="n">
        <f aca="false">N('Min gæld'!$C$15)+IF(N(G175)&lt;=0.005,N('Min gæld'!$E$5),0)+IF(N(K175)&lt;=0.005,N('Min gæld'!$E$6),0)+IF(N(O175)&lt;=0.005,N('Min gæld'!$E$7),0)+IF(N(S175)&lt;=0.005,N('Min gæld'!$E$8),0)+IF(N(W175)&lt;=0.005,N('Min gæld'!$E$9),0)+IF(N(AA175)&lt;=0.005,N('Min gæld'!$E$10),0)+IF(N(AE175)&lt;=0.005,N('Min gæld'!$E$11),0)+IF(N(AI175)&lt;=0.005,N('Min gæld'!$E$12),0)</f>
        <v>4800</v>
      </c>
      <c r="D176" s="27" t="n">
        <f aca="false">MAX(0,C176)</f>
        <v>4800</v>
      </c>
      <c r="E176" s="27" t="n">
        <f aca="false">IF(N(G175)&lt;=0.005,0,N(G175)*(1+N('Min gæld'!$D$5)/12))</f>
        <v>0</v>
      </c>
      <c r="F176" s="27" t="n">
        <f aca="false">IF(E176&lt;=0,0,MIN(E176,N('Min gæld'!$E$5)+D176))</f>
        <v>0</v>
      </c>
      <c r="G176" s="27" t="n">
        <f aca="false">IF(E176-F176&lt;0.005,0,E176-F176)</f>
        <v>0</v>
      </c>
      <c r="H176" s="27" t="n">
        <f aca="false">MAX(0,IF(N(G175)&lt;=0.005,D176,D176+N('Min gæld'!$E$5)-F176))</f>
        <v>4800</v>
      </c>
      <c r="I176" s="27" t="n">
        <f aca="false">IF(N(K175)&lt;=0.005,0,N(K175)*(1+N('Min gæld'!$D$6)/12))</f>
        <v>0</v>
      </c>
      <c r="J176" s="27" t="n">
        <f aca="false">IF(I176&lt;=0,0,MIN(I176,N('Min gæld'!$E$6)+H176))</f>
        <v>0</v>
      </c>
      <c r="K176" s="27" t="n">
        <f aca="false">IF(I176-J176&lt;0.005,0,I176-J176)</f>
        <v>0</v>
      </c>
      <c r="L176" s="27" t="n">
        <f aca="false">MAX(0,IF(N(K175)&lt;=0.005,H176,H176+N('Min gæld'!$E$6)-J176))</f>
        <v>4800</v>
      </c>
      <c r="M176" s="27" t="n">
        <f aca="false">IF(N(O175)&lt;=0.005,0,N(O175)*(1+N('Min gæld'!$D$7)/12))</f>
        <v>0</v>
      </c>
      <c r="N176" s="27" t="n">
        <f aca="false">IF(M176&lt;=0,0,MIN(M176,N('Min gæld'!$E$7)+L176))</f>
        <v>0</v>
      </c>
      <c r="O176" s="27" t="n">
        <f aca="false">IF(M176-N176&lt;0.005,0,M176-N176)</f>
        <v>0</v>
      </c>
      <c r="P176" s="27" t="n">
        <f aca="false">MAX(0,IF(N(O175)&lt;=0.005,L176,L176+N('Min gæld'!$E$7)-N176))</f>
        <v>4800</v>
      </c>
      <c r="Q176" s="27" t="n">
        <f aca="false">IF(N(S175)&lt;=0.005,0,N(S175)*(1+N('Min gæld'!$D$8)/12))</f>
        <v>0</v>
      </c>
      <c r="R176" s="27" t="n">
        <f aca="false">IF(Q176&lt;=0,0,MIN(Q176,N('Min gæld'!$E$8)+P176))</f>
        <v>0</v>
      </c>
      <c r="S176" s="27" t="n">
        <f aca="false">IF(Q176-R176&lt;0.005,0,Q176-R176)</f>
        <v>0</v>
      </c>
      <c r="T176" s="27" t="n">
        <f aca="false">MAX(0,IF(N(S175)&lt;=0.005,P176,P176+N('Min gæld'!$E$8)-R176))</f>
        <v>4800</v>
      </c>
      <c r="U176" s="27" t="n">
        <f aca="false">IF(N(W175)&lt;=0.005,0,N(W175)*(1+N('Min gæld'!$D$9)/12))</f>
        <v>0</v>
      </c>
      <c r="V176" s="27" t="n">
        <f aca="false">IF(U176&lt;=0,0,MIN(U176,N('Min gæld'!$E$9)+T176))</f>
        <v>0</v>
      </c>
      <c r="W176" s="27" t="n">
        <f aca="false">IF(U176-V176&lt;0.005,0,U176-V176)</f>
        <v>0</v>
      </c>
      <c r="X176" s="27" t="n">
        <f aca="false">MAX(0,IF(N(W175)&lt;=0.005,T176,T176+N('Min gæld'!$E$9)-V176))</f>
        <v>4800</v>
      </c>
      <c r="Y176" s="27" t="n">
        <f aca="false">IF(N(AA175)&lt;=0.005,0,N(AA175)*(1+N('Min gæld'!$D$10)/12))</f>
        <v>0</v>
      </c>
      <c r="Z176" s="27" t="n">
        <f aca="false">IF(Y176&lt;=0,0,MIN(Y176,N('Min gæld'!$E$10)+X176))</f>
        <v>0</v>
      </c>
      <c r="AA176" s="27" t="n">
        <f aca="false">IF(Y176-Z176&lt;0.005,0,Y176-Z176)</f>
        <v>0</v>
      </c>
      <c r="AB176" s="27" t="n">
        <f aca="false">MAX(0,IF(N(AA175)&lt;=0.005,X176,X176+N('Min gæld'!$E$10)-Z176))</f>
        <v>4800</v>
      </c>
      <c r="AC176" s="27" t="n">
        <f aca="false">IF(N(AE175)&lt;=0.005,0,N(AE175)*(1+N('Min gæld'!$D$11)/12))</f>
        <v>0</v>
      </c>
      <c r="AD176" s="27" t="n">
        <f aca="false">IF(AC176&lt;=0,0,MIN(AC176,N('Min gæld'!$E$11)+AB176))</f>
        <v>0</v>
      </c>
      <c r="AE176" s="27" t="n">
        <f aca="false">IF(AC176-AD176&lt;0.005,0,AC176-AD176)</f>
        <v>0</v>
      </c>
      <c r="AF176" s="27" t="n">
        <f aca="false">MAX(0,IF(N(AE175)&lt;=0.005,AB176,AB176+N('Min gæld'!$E$11)-AD176))</f>
        <v>4800</v>
      </c>
      <c r="AG176" s="27" t="n">
        <f aca="false">IF(N(AI175)&lt;=0.005,0,N(AI175)*(1+N('Min gæld'!$D$12)/12))</f>
        <v>0</v>
      </c>
      <c r="AH176" s="27" t="n">
        <f aca="false">IF(AG176&lt;=0,0,MIN(AG176,N('Min gæld'!$E$12)+AF176))</f>
        <v>0</v>
      </c>
      <c r="AI176" s="27" t="n">
        <f aca="false">IF(AG176-AH176&lt;0.005,0,AG176-AH176)</f>
        <v>0</v>
      </c>
      <c r="AJ176" s="27" t="n">
        <f aca="false">G176+K176+O176+S176+W176+AA176+AE176+AI176</f>
        <v>0</v>
      </c>
      <c r="AK176" s="28" t="n">
        <f aca="false">IF(E176&gt;0,E176-N(G175),0)+IF(I176&gt;0,I176-N(K175),0)+IF(M176&gt;0,M176-N(O175),0)+IF(Q176&gt;0,Q176-N(S175),0)+IF(U176&gt;0,U176-N(W175),0)+IF(Y176&gt;0,Y176-N(AA175),0)+IF(AC176&gt;0,AC176-N(AE175),0)+IF(AG176&gt;0,AG176-N(AI175),0)</f>
        <v>0</v>
      </c>
    </row>
    <row r="177" customFormat="false" ht="15" hidden="false" customHeight="false" outlineLevel="0" collapsed="false">
      <c r="A177" s="25" t="n">
        <v>172</v>
      </c>
      <c r="B177" s="26" t="n">
        <f aca="false">EDATE('Min gæld'!$C$16,171)</f>
        <v>51592</v>
      </c>
      <c r="C177" s="27" t="n">
        <f aca="false">N('Min gæld'!$C$15)+IF(N(G176)&lt;=0.005,N('Min gæld'!$E$5),0)+IF(N(K176)&lt;=0.005,N('Min gæld'!$E$6),0)+IF(N(O176)&lt;=0.005,N('Min gæld'!$E$7),0)+IF(N(S176)&lt;=0.005,N('Min gæld'!$E$8),0)+IF(N(W176)&lt;=0.005,N('Min gæld'!$E$9),0)+IF(N(AA176)&lt;=0.005,N('Min gæld'!$E$10),0)+IF(N(AE176)&lt;=0.005,N('Min gæld'!$E$11),0)+IF(N(AI176)&lt;=0.005,N('Min gæld'!$E$12),0)</f>
        <v>4800</v>
      </c>
      <c r="D177" s="27" t="n">
        <f aca="false">MAX(0,C177)</f>
        <v>4800</v>
      </c>
      <c r="E177" s="27" t="n">
        <f aca="false">IF(N(G176)&lt;=0.005,0,N(G176)*(1+N('Min gæld'!$D$5)/12))</f>
        <v>0</v>
      </c>
      <c r="F177" s="27" t="n">
        <f aca="false">IF(E177&lt;=0,0,MIN(E177,N('Min gæld'!$E$5)+D177))</f>
        <v>0</v>
      </c>
      <c r="G177" s="27" t="n">
        <f aca="false">IF(E177-F177&lt;0.005,0,E177-F177)</f>
        <v>0</v>
      </c>
      <c r="H177" s="27" t="n">
        <f aca="false">MAX(0,IF(N(G176)&lt;=0.005,D177,D177+N('Min gæld'!$E$5)-F177))</f>
        <v>4800</v>
      </c>
      <c r="I177" s="27" t="n">
        <f aca="false">IF(N(K176)&lt;=0.005,0,N(K176)*(1+N('Min gæld'!$D$6)/12))</f>
        <v>0</v>
      </c>
      <c r="J177" s="27" t="n">
        <f aca="false">IF(I177&lt;=0,0,MIN(I177,N('Min gæld'!$E$6)+H177))</f>
        <v>0</v>
      </c>
      <c r="K177" s="27" t="n">
        <f aca="false">IF(I177-J177&lt;0.005,0,I177-J177)</f>
        <v>0</v>
      </c>
      <c r="L177" s="27" t="n">
        <f aca="false">MAX(0,IF(N(K176)&lt;=0.005,H177,H177+N('Min gæld'!$E$6)-J177))</f>
        <v>4800</v>
      </c>
      <c r="M177" s="27" t="n">
        <f aca="false">IF(N(O176)&lt;=0.005,0,N(O176)*(1+N('Min gæld'!$D$7)/12))</f>
        <v>0</v>
      </c>
      <c r="N177" s="27" t="n">
        <f aca="false">IF(M177&lt;=0,0,MIN(M177,N('Min gæld'!$E$7)+L177))</f>
        <v>0</v>
      </c>
      <c r="O177" s="27" t="n">
        <f aca="false">IF(M177-N177&lt;0.005,0,M177-N177)</f>
        <v>0</v>
      </c>
      <c r="P177" s="27" t="n">
        <f aca="false">MAX(0,IF(N(O176)&lt;=0.005,L177,L177+N('Min gæld'!$E$7)-N177))</f>
        <v>4800</v>
      </c>
      <c r="Q177" s="27" t="n">
        <f aca="false">IF(N(S176)&lt;=0.005,0,N(S176)*(1+N('Min gæld'!$D$8)/12))</f>
        <v>0</v>
      </c>
      <c r="R177" s="27" t="n">
        <f aca="false">IF(Q177&lt;=0,0,MIN(Q177,N('Min gæld'!$E$8)+P177))</f>
        <v>0</v>
      </c>
      <c r="S177" s="27" t="n">
        <f aca="false">IF(Q177-R177&lt;0.005,0,Q177-R177)</f>
        <v>0</v>
      </c>
      <c r="T177" s="27" t="n">
        <f aca="false">MAX(0,IF(N(S176)&lt;=0.005,P177,P177+N('Min gæld'!$E$8)-R177))</f>
        <v>4800</v>
      </c>
      <c r="U177" s="27" t="n">
        <f aca="false">IF(N(W176)&lt;=0.005,0,N(W176)*(1+N('Min gæld'!$D$9)/12))</f>
        <v>0</v>
      </c>
      <c r="V177" s="27" t="n">
        <f aca="false">IF(U177&lt;=0,0,MIN(U177,N('Min gæld'!$E$9)+T177))</f>
        <v>0</v>
      </c>
      <c r="W177" s="27" t="n">
        <f aca="false">IF(U177-V177&lt;0.005,0,U177-V177)</f>
        <v>0</v>
      </c>
      <c r="X177" s="27" t="n">
        <f aca="false">MAX(0,IF(N(W176)&lt;=0.005,T177,T177+N('Min gæld'!$E$9)-V177))</f>
        <v>4800</v>
      </c>
      <c r="Y177" s="27" t="n">
        <f aca="false">IF(N(AA176)&lt;=0.005,0,N(AA176)*(1+N('Min gæld'!$D$10)/12))</f>
        <v>0</v>
      </c>
      <c r="Z177" s="27" t="n">
        <f aca="false">IF(Y177&lt;=0,0,MIN(Y177,N('Min gæld'!$E$10)+X177))</f>
        <v>0</v>
      </c>
      <c r="AA177" s="27" t="n">
        <f aca="false">IF(Y177-Z177&lt;0.005,0,Y177-Z177)</f>
        <v>0</v>
      </c>
      <c r="AB177" s="27" t="n">
        <f aca="false">MAX(0,IF(N(AA176)&lt;=0.005,X177,X177+N('Min gæld'!$E$10)-Z177))</f>
        <v>4800</v>
      </c>
      <c r="AC177" s="27" t="n">
        <f aca="false">IF(N(AE176)&lt;=0.005,0,N(AE176)*(1+N('Min gæld'!$D$11)/12))</f>
        <v>0</v>
      </c>
      <c r="AD177" s="27" t="n">
        <f aca="false">IF(AC177&lt;=0,0,MIN(AC177,N('Min gæld'!$E$11)+AB177))</f>
        <v>0</v>
      </c>
      <c r="AE177" s="27" t="n">
        <f aca="false">IF(AC177-AD177&lt;0.005,0,AC177-AD177)</f>
        <v>0</v>
      </c>
      <c r="AF177" s="27" t="n">
        <f aca="false">MAX(0,IF(N(AE176)&lt;=0.005,AB177,AB177+N('Min gæld'!$E$11)-AD177))</f>
        <v>4800</v>
      </c>
      <c r="AG177" s="27" t="n">
        <f aca="false">IF(N(AI176)&lt;=0.005,0,N(AI176)*(1+N('Min gæld'!$D$12)/12))</f>
        <v>0</v>
      </c>
      <c r="AH177" s="27" t="n">
        <f aca="false">IF(AG177&lt;=0,0,MIN(AG177,N('Min gæld'!$E$12)+AF177))</f>
        <v>0</v>
      </c>
      <c r="AI177" s="27" t="n">
        <f aca="false">IF(AG177-AH177&lt;0.005,0,AG177-AH177)</f>
        <v>0</v>
      </c>
      <c r="AJ177" s="27" t="n">
        <f aca="false">G177+K177+O177+S177+W177+AA177+AE177+AI177</f>
        <v>0</v>
      </c>
      <c r="AK177" s="28" t="n">
        <f aca="false">IF(E177&gt;0,E177-N(G176),0)+IF(I177&gt;0,I177-N(K176),0)+IF(M177&gt;0,M177-N(O176),0)+IF(Q177&gt;0,Q177-N(S176),0)+IF(U177&gt;0,U177-N(W176),0)+IF(Y177&gt;0,Y177-N(AA176),0)+IF(AC177&gt;0,AC177-N(AE176),0)+IF(AG177&gt;0,AG177-N(AI176),0)</f>
        <v>0</v>
      </c>
    </row>
    <row r="178" customFormat="false" ht="15" hidden="false" customHeight="false" outlineLevel="0" collapsed="false">
      <c r="A178" s="25" t="n">
        <v>173</v>
      </c>
      <c r="B178" s="26" t="n">
        <f aca="false">EDATE('Min gæld'!$C$16,172)</f>
        <v>51622</v>
      </c>
      <c r="C178" s="27" t="n">
        <f aca="false">N('Min gæld'!$C$15)+IF(N(G177)&lt;=0.005,N('Min gæld'!$E$5),0)+IF(N(K177)&lt;=0.005,N('Min gæld'!$E$6),0)+IF(N(O177)&lt;=0.005,N('Min gæld'!$E$7),0)+IF(N(S177)&lt;=0.005,N('Min gæld'!$E$8),0)+IF(N(W177)&lt;=0.005,N('Min gæld'!$E$9),0)+IF(N(AA177)&lt;=0.005,N('Min gæld'!$E$10),0)+IF(N(AE177)&lt;=0.005,N('Min gæld'!$E$11),0)+IF(N(AI177)&lt;=0.005,N('Min gæld'!$E$12),0)</f>
        <v>4800</v>
      </c>
      <c r="D178" s="27" t="n">
        <f aca="false">MAX(0,C178)</f>
        <v>4800</v>
      </c>
      <c r="E178" s="27" t="n">
        <f aca="false">IF(N(G177)&lt;=0.005,0,N(G177)*(1+N('Min gæld'!$D$5)/12))</f>
        <v>0</v>
      </c>
      <c r="F178" s="27" t="n">
        <f aca="false">IF(E178&lt;=0,0,MIN(E178,N('Min gæld'!$E$5)+D178))</f>
        <v>0</v>
      </c>
      <c r="G178" s="27" t="n">
        <f aca="false">IF(E178-F178&lt;0.005,0,E178-F178)</f>
        <v>0</v>
      </c>
      <c r="H178" s="27" t="n">
        <f aca="false">MAX(0,IF(N(G177)&lt;=0.005,D178,D178+N('Min gæld'!$E$5)-F178))</f>
        <v>4800</v>
      </c>
      <c r="I178" s="27" t="n">
        <f aca="false">IF(N(K177)&lt;=0.005,0,N(K177)*(1+N('Min gæld'!$D$6)/12))</f>
        <v>0</v>
      </c>
      <c r="J178" s="27" t="n">
        <f aca="false">IF(I178&lt;=0,0,MIN(I178,N('Min gæld'!$E$6)+H178))</f>
        <v>0</v>
      </c>
      <c r="K178" s="27" t="n">
        <f aca="false">IF(I178-J178&lt;0.005,0,I178-J178)</f>
        <v>0</v>
      </c>
      <c r="L178" s="27" t="n">
        <f aca="false">MAX(0,IF(N(K177)&lt;=0.005,H178,H178+N('Min gæld'!$E$6)-J178))</f>
        <v>4800</v>
      </c>
      <c r="M178" s="27" t="n">
        <f aca="false">IF(N(O177)&lt;=0.005,0,N(O177)*(1+N('Min gæld'!$D$7)/12))</f>
        <v>0</v>
      </c>
      <c r="N178" s="27" t="n">
        <f aca="false">IF(M178&lt;=0,0,MIN(M178,N('Min gæld'!$E$7)+L178))</f>
        <v>0</v>
      </c>
      <c r="O178" s="27" t="n">
        <f aca="false">IF(M178-N178&lt;0.005,0,M178-N178)</f>
        <v>0</v>
      </c>
      <c r="P178" s="27" t="n">
        <f aca="false">MAX(0,IF(N(O177)&lt;=0.005,L178,L178+N('Min gæld'!$E$7)-N178))</f>
        <v>4800</v>
      </c>
      <c r="Q178" s="27" t="n">
        <f aca="false">IF(N(S177)&lt;=0.005,0,N(S177)*(1+N('Min gæld'!$D$8)/12))</f>
        <v>0</v>
      </c>
      <c r="R178" s="27" t="n">
        <f aca="false">IF(Q178&lt;=0,0,MIN(Q178,N('Min gæld'!$E$8)+P178))</f>
        <v>0</v>
      </c>
      <c r="S178" s="27" t="n">
        <f aca="false">IF(Q178-R178&lt;0.005,0,Q178-R178)</f>
        <v>0</v>
      </c>
      <c r="T178" s="27" t="n">
        <f aca="false">MAX(0,IF(N(S177)&lt;=0.005,P178,P178+N('Min gæld'!$E$8)-R178))</f>
        <v>4800</v>
      </c>
      <c r="U178" s="27" t="n">
        <f aca="false">IF(N(W177)&lt;=0.005,0,N(W177)*(1+N('Min gæld'!$D$9)/12))</f>
        <v>0</v>
      </c>
      <c r="V178" s="27" t="n">
        <f aca="false">IF(U178&lt;=0,0,MIN(U178,N('Min gæld'!$E$9)+T178))</f>
        <v>0</v>
      </c>
      <c r="W178" s="27" t="n">
        <f aca="false">IF(U178-V178&lt;0.005,0,U178-V178)</f>
        <v>0</v>
      </c>
      <c r="X178" s="27" t="n">
        <f aca="false">MAX(0,IF(N(W177)&lt;=0.005,T178,T178+N('Min gæld'!$E$9)-V178))</f>
        <v>4800</v>
      </c>
      <c r="Y178" s="27" t="n">
        <f aca="false">IF(N(AA177)&lt;=0.005,0,N(AA177)*(1+N('Min gæld'!$D$10)/12))</f>
        <v>0</v>
      </c>
      <c r="Z178" s="27" t="n">
        <f aca="false">IF(Y178&lt;=0,0,MIN(Y178,N('Min gæld'!$E$10)+X178))</f>
        <v>0</v>
      </c>
      <c r="AA178" s="27" t="n">
        <f aca="false">IF(Y178-Z178&lt;0.005,0,Y178-Z178)</f>
        <v>0</v>
      </c>
      <c r="AB178" s="27" t="n">
        <f aca="false">MAX(0,IF(N(AA177)&lt;=0.005,X178,X178+N('Min gæld'!$E$10)-Z178))</f>
        <v>4800</v>
      </c>
      <c r="AC178" s="27" t="n">
        <f aca="false">IF(N(AE177)&lt;=0.005,0,N(AE177)*(1+N('Min gæld'!$D$11)/12))</f>
        <v>0</v>
      </c>
      <c r="AD178" s="27" t="n">
        <f aca="false">IF(AC178&lt;=0,0,MIN(AC178,N('Min gæld'!$E$11)+AB178))</f>
        <v>0</v>
      </c>
      <c r="AE178" s="27" t="n">
        <f aca="false">IF(AC178-AD178&lt;0.005,0,AC178-AD178)</f>
        <v>0</v>
      </c>
      <c r="AF178" s="27" t="n">
        <f aca="false">MAX(0,IF(N(AE177)&lt;=0.005,AB178,AB178+N('Min gæld'!$E$11)-AD178))</f>
        <v>4800</v>
      </c>
      <c r="AG178" s="27" t="n">
        <f aca="false">IF(N(AI177)&lt;=0.005,0,N(AI177)*(1+N('Min gæld'!$D$12)/12))</f>
        <v>0</v>
      </c>
      <c r="AH178" s="27" t="n">
        <f aca="false">IF(AG178&lt;=0,0,MIN(AG178,N('Min gæld'!$E$12)+AF178))</f>
        <v>0</v>
      </c>
      <c r="AI178" s="27" t="n">
        <f aca="false">IF(AG178-AH178&lt;0.005,0,AG178-AH178)</f>
        <v>0</v>
      </c>
      <c r="AJ178" s="27" t="n">
        <f aca="false">G178+K178+O178+S178+W178+AA178+AE178+AI178</f>
        <v>0</v>
      </c>
      <c r="AK178" s="28" t="n">
        <f aca="false">IF(E178&gt;0,E178-N(G177),0)+IF(I178&gt;0,I178-N(K177),0)+IF(M178&gt;0,M178-N(O177),0)+IF(Q178&gt;0,Q178-N(S177),0)+IF(U178&gt;0,U178-N(W177),0)+IF(Y178&gt;0,Y178-N(AA177),0)+IF(AC178&gt;0,AC178-N(AE177),0)+IF(AG178&gt;0,AG178-N(AI177),0)</f>
        <v>0</v>
      </c>
    </row>
    <row r="179" customFormat="false" ht="15" hidden="false" customHeight="false" outlineLevel="0" collapsed="false">
      <c r="A179" s="25" t="n">
        <v>174</v>
      </c>
      <c r="B179" s="26" t="n">
        <f aca="false">EDATE('Min gæld'!$C$16,173)</f>
        <v>51653</v>
      </c>
      <c r="C179" s="27" t="n">
        <f aca="false">N('Min gæld'!$C$15)+IF(N(G178)&lt;=0.005,N('Min gæld'!$E$5),0)+IF(N(K178)&lt;=0.005,N('Min gæld'!$E$6),0)+IF(N(O178)&lt;=0.005,N('Min gæld'!$E$7),0)+IF(N(S178)&lt;=0.005,N('Min gæld'!$E$8),0)+IF(N(W178)&lt;=0.005,N('Min gæld'!$E$9),0)+IF(N(AA178)&lt;=0.005,N('Min gæld'!$E$10),0)+IF(N(AE178)&lt;=0.005,N('Min gæld'!$E$11),0)+IF(N(AI178)&lt;=0.005,N('Min gæld'!$E$12),0)</f>
        <v>4800</v>
      </c>
      <c r="D179" s="27" t="n">
        <f aca="false">MAX(0,C179)</f>
        <v>4800</v>
      </c>
      <c r="E179" s="27" t="n">
        <f aca="false">IF(N(G178)&lt;=0.005,0,N(G178)*(1+N('Min gæld'!$D$5)/12))</f>
        <v>0</v>
      </c>
      <c r="F179" s="27" t="n">
        <f aca="false">IF(E179&lt;=0,0,MIN(E179,N('Min gæld'!$E$5)+D179))</f>
        <v>0</v>
      </c>
      <c r="G179" s="27" t="n">
        <f aca="false">IF(E179-F179&lt;0.005,0,E179-F179)</f>
        <v>0</v>
      </c>
      <c r="H179" s="27" t="n">
        <f aca="false">MAX(0,IF(N(G178)&lt;=0.005,D179,D179+N('Min gæld'!$E$5)-F179))</f>
        <v>4800</v>
      </c>
      <c r="I179" s="27" t="n">
        <f aca="false">IF(N(K178)&lt;=0.005,0,N(K178)*(1+N('Min gæld'!$D$6)/12))</f>
        <v>0</v>
      </c>
      <c r="J179" s="27" t="n">
        <f aca="false">IF(I179&lt;=0,0,MIN(I179,N('Min gæld'!$E$6)+H179))</f>
        <v>0</v>
      </c>
      <c r="K179" s="27" t="n">
        <f aca="false">IF(I179-J179&lt;0.005,0,I179-J179)</f>
        <v>0</v>
      </c>
      <c r="L179" s="27" t="n">
        <f aca="false">MAX(0,IF(N(K178)&lt;=0.005,H179,H179+N('Min gæld'!$E$6)-J179))</f>
        <v>4800</v>
      </c>
      <c r="M179" s="27" t="n">
        <f aca="false">IF(N(O178)&lt;=0.005,0,N(O178)*(1+N('Min gæld'!$D$7)/12))</f>
        <v>0</v>
      </c>
      <c r="N179" s="27" t="n">
        <f aca="false">IF(M179&lt;=0,0,MIN(M179,N('Min gæld'!$E$7)+L179))</f>
        <v>0</v>
      </c>
      <c r="O179" s="27" t="n">
        <f aca="false">IF(M179-N179&lt;0.005,0,M179-N179)</f>
        <v>0</v>
      </c>
      <c r="P179" s="27" t="n">
        <f aca="false">MAX(0,IF(N(O178)&lt;=0.005,L179,L179+N('Min gæld'!$E$7)-N179))</f>
        <v>4800</v>
      </c>
      <c r="Q179" s="27" t="n">
        <f aca="false">IF(N(S178)&lt;=0.005,0,N(S178)*(1+N('Min gæld'!$D$8)/12))</f>
        <v>0</v>
      </c>
      <c r="R179" s="27" t="n">
        <f aca="false">IF(Q179&lt;=0,0,MIN(Q179,N('Min gæld'!$E$8)+P179))</f>
        <v>0</v>
      </c>
      <c r="S179" s="27" t="n">
        <f aca="false">IF(Q179-R179&lt;0.005,0,Q179-R179)</f>
        <v>0</v>
      </c>
      <c r="T179" s="27" t="n">
        <f aca="false">MAX(0,IF(N(S178)&lt;=0.005,P179,P179+N('Min gæld'!$E$8)-R179))</f>
        <v>4800</v>
      </c>
      <c r="U179" s="27" t="n">
        <f aca="false">IF(N(W178)&lt;=0.005,0,N(W178)*(1+N('Min gæld'!$D$9)/12))</f>
        <v>0</v>
      </c>
      <c r="V179" s="27" t="n">
        <f aca="false">IF(U179&lt;=0,0,MIN(U179,N('Min gæld'!$E$9)+T179))</f>
        <v>0</v>
      </c>
      <c r="W179" s="27" t="n">
        <f aca="false">IF(U179-V179&lt;0.005,0,U179-V179)</f>
        <v>0</v>
      </c>
      <c r="X179" s="27" t="n">
        <f aca="false">MAX(0,IF(N(W178)&lt;=0.005,T179,T179+N('Min gæld'!$E$9)-V179))</f>
        <v>4800</v>
      </c>
      <c r="Y179" s="27" t="n">
        <f aca="false">IF(N(AA178)&lt;=0.005,0,N(AA178)*(1+N('Min gæld'!$D$10)/12))</f>
        <v>0</v>
      </c>
      <c r="Z179" s="27" t="n">
        <f aca="false">IF(Y179&lt;=0,0,MIN(Y179,N('Min gæld'!$E$10)+X179))</f>
        <v>0</v>
      </c>
      <c r="AA179" s="27" t="n">
        <f aca="false">IF(Y179-Z179&lt;0.005,0,Y179-Z179)</f>
        <v>0</v>
      </c>
      <c r="AB179" s="27" t="n">
        <f aca="false">MAX(0,IF(N(AA178)&lt;=0.005,X179,X179+N('Min gæld'!$E$10)-Z179))</f>
        <v>4800</v>
      </c>
      <c r="AC179" s="27" t="n">
        <f aca="false">IF(N(AE178)&lt;=0.005,0,N(AE178)*(1+N('Min gæld'!$D$11)/12))</f>
        <v>0</v>
      </c>
      <c r="AD179" s="27" t="n">
        <f aca="false">IF(AC179&lt;=0,0,MIN(AC179,N('Min gæld'!$E$11)+AB179))</f>
        <v>0</v>
      </c>
      <c r="AE179" s="27" t="n">
        <f aca="false">IF(AC179-AD179&lt;0.005,0,AC179-AD179)</f>
        <v>0</v>
      </c>
      <c r="AF179" s="27" t="n">
        <f aca="false">MAX(0,IF(N(AE178)&lt;=0.005,AB179,AB179+N('Min gæld'!$E$11)-AD179))</f>
        <v>4800</v>
      </c>
      <c r="AG179" s="27" t="n">
        <f aca="false">IF(N(AI178)&lt;=0.005,0,N(AI178)*(1+N('Min gæld'!$D$12)/12))</f>
        <v>0</v>
      </c>
      <c r="AH179" s="27" t="n">
        <f aca="false">IF(AG179&lt;=0,0,MIN(AG179,N('Min gæld'!$E$12)+AF179))</f>
        <v>0</v>
      </c>
      <c r="AI179" s="27" t="n">
        <f aca="false">IF(AG179-AH179&lt;0.005,0,AG179-AH179)</f>
        <v>0</v>
      </c>
      <c r="AJ179" s="27" t="n">
        <f aca="false">G179+K179+O179+S179+W179+AA179+AE179+AI179</f>
        <v>0</v>
      </c>
      <c r="AK179" s="28" t="n">
        <f aca="false">IF(E179&gt;0,E179-N(G178),0)+IF(I179&gt;0,I179-N(K178),0)+IF(M179&gt;0,M179-N(O178),0)+IF(Q179&gt;0,Q179-N(S178),0)+IF(U179&gt;0,U179-N(W178),0)+IF(Y179&gt;0,Y179-N(AA178),0)+IF(AC179&gt;0,AC179-N(AE178),0)+IF(AG179&gt;0,AG179-N(AI178),0)</f>
        <v>0</v>
      </c>
    </row>
    <row r="180" customFormat="false" ht="15" hidden="false" customHeight="false" outlineLevel="0" collapsed="false">
      <c r="A180" s="25" t="n">
        <v>175</v>
      </c>
      <c r="B180" s="26" t="n">
        <f aca="false">EDATE('Min gæld'!$C$16,174)</f>
        <v>51683</v>
      </c>
      <c r="C180" s="27" t="n">
        <f aca="false">N('Min gæld'!$C$15)+IF(N(G179)&lt;=0.005,N('Min gæld'!$E$5),0)+IF(N(K179)&lt;=0.005,N('Min gæld'!$E$6),0)+IF(N(O179)&lt;=0.005,N('Min gæld'!$E$7),0)+IF(N(S179)&lt;=0.005,N('Min gæld'!$E$8),0)+IF(N(W179)&lt;=0.005,N('Min gæld'!$E$9),0)+IF(N(AA179)&lt;=0.005,N('Min gæld'!$E$10),0)+IF(N(AE179)&lt;=0.005,N('Min gæld'!$E$11),0)+IF(N(AI179)&lt;=0.005,N('Min gæld'!$E$12),0)</f>
        <v>4800</v>
      </c>
      <c r="D180" s="27" t="n">
        <f aca="false">MAX(0,C180)</f>
        <v>4800</v>
      </c>
      <c r="E180" s="27" t="n">
        <f aca="false">IF(N(G179)&lt;=0.005,0,N(G179)*(1+N('Min gæld'!$D$5)/12))</f>
        <v>0</v>
      </c>
      <c r="F180" s="27" t="n">
        <f aca="false">IF(E180&lt;=0,0,MIN(E180,N('Min gæld'!$E$5)+D180))</f>
        <v>0</v>
      </c>
      <c r="G180" s="27" t="n">
        <f aca="false">IF(E180-F180&lt;0.005,0,E180-F180)</f>
        <v>0</v>
      </c>
      <c r="H180" s="27" t="n">
        <f aca="false">MAX(0,IF(N(G179)&lt;=0.005,D180,D180+N('Min gæld'!$E$5)-F180))</f>
        <v>4800</v>
      </c>
      <c r="I180" s="27" t="n">
        <f aca="false">IF(N(K179)&lt;=0.005,0,N(K179)*(1+N('Min gæld'!$D$6)/12))</f>
        <v>0</v>
      </c>
      <c r="J180" s="27" t="n">
        <f aca="false">IF(I180&lt;=0,0,MIN(I180,N('Min gæld'!$E$6)+H180))</f>
        <v>0</v>
      </c>
      <c r="K180" s="27" t="n">
        <f aca="false">IF(I180-J180&lt;0.005,0,I180-J180)</f>
        <v>0</v>
      </c>
      <c r="L180" s="27" t="n">
        <f aca="false">MAX(0,IF(N(K179)&lt;=0.005,H180,H180+N('Min gæld'!$E$6)-J180))</f>
        <v>4800</v>
      </c>
      <c r="M180" s="27" t="n">
        <f aca="false">IF(N(O179)&lt;=0.005,0,N(O179)*(1+N('Min gæld'!$D$7)/12))</f>
        <v>0</v>
      </c>
      <c r="N180" s="27" t="n">
        <f aca="false">IF(M180&lt;=0,0,MIN(M180,N('Min gæld'!$E$7)+L180))</f>
        <v>0</v>
      </c>
      <c r="O180" s="27" t="n">
        <f aca="false">IF(M180-N180&lt;0.005,0,M180-N180)</f>
        <v>0</v>
      </c>
      <c r="P180" s="27" t="n">
        <f aca="false">MAX(0,IF(N(O179)&lt;=0.005,L180,L180+N('Min gæld'!$E$7)-N180))</f>
        <v>4800</v>
      </c>
      <c r="Q180" s="27" t="n">
        <f aca="false">IF(N(S179)&lt;=0.005,0,N(S179)*(1+N('Min gæld'!$D$8)/12))</f>
        <v>0</v>
      </c>
      <c r="R180" s="27" t="n">
        <f aca="false">IF(Q180&lt;=0,0,MIN(Q180,N('Min gæld'!$E$8)+P180))</f>
        <v>0</v>
      </c>
      <c r="S180" s="27" t="n">
        <f aca="false">IF(Q180-R180&lt;0.005,0,Q180-R180)</f>
        <v>0</v>
      </c>
      <c r="T180" s="27" t="n">
        <f aca="false">MAX(0,IF(N(S179)&lt;=0.005,P180,P180+N('Min gæld'!$E$8)-R180))</f>
        <v>4800</v>
      </c>
      <c r="U180" s="27" t="n">
        <f aca="false">IF(N(W179)&lt;=0.005,0,N(W179)*(1+N('Min gæld'!$D$9)/12))</f>
        <v>0</v>
      </c>
      <c r="V180" s="27" t="n">
        <f aca="false">IF(U180&lt;=0,0,MIN(U180,N('Min gæld'!$E$9)+T180))</f>
        <v>0</v>
      </c>
      <c r="W180" s="27" t="n">
        <f aca="false">IF(U180-V180&lt;0.005,0,U180-V180)</f>
        <v>0</v>
      </c>
      <c r="X180" s="27" t="n">
        <f aca="false">MAX(0,IF(N(W179)&lt;=0.005,T180,T180+N('Min gæld'!$E$9)-V180))</f>
        <v>4800</v>
      </c>
      <c r="Y180" s="27" t="n">
        <f aca="false">IF(N(AA179)&lt;=0.005,0,N(AA179)*(1+N('Min gæld'!$D$10)/12))</f>
        <v>0</v>
      </c>
      <c r="Z180" s="27" t="n">
        <f aca="false">IF(Y180&lt;=0,0,MIN(Y180,N('Min gæld'!$E$10)+X180))</f>
        <v>0</v>
      </c>
      <c r="AA180" s="27" t="n">
        <f aca="false">IF(Y180-Z180&lt;0.005,0,Y180-Z180)</f>
        <v>0</v>
      </c>
      <c r="AB180" s="27" t="n">
        <f aca="false">MAX(0,IF(N(AA179)&lt;=0.005,X180,X180+N('Min gæld'!$E$10)-Z180))</f>
        <v>4800</v>
      </c>
      <c r="AC180" s="27" t="n">
        <f aca="false">IF(N(AE179)&lt;=0.005,0,N(AE179)*(1+N('Min gæld'!$D$11)/12))</f>
        <v>0</v>
      </c>
      <c r="AD180" s="27" t="n">
        <f aca="false">IF(AC180&lt;=0,0,MIN(AC180,N('Min gæld'!$E$11)+AB180))</f>
        <v>0</v>
      </c>
      <c r="AE180" s="27" t="n">
        <f aca="false">IF(AC180-AD180&lt;0.005,0,AC180-AD180)</f>
        <v>0</v>
      </c>
      <c r="AF180" s="27" t="n">
        <f aca="false">MAX(0,IF(N(AE179)&lt;=0.005,AB180,AB180+N('Min gæld'!$E$11)-AD180))</f>
        <v>4800</v>
      </c>
      <c r="AG180" s="27" t="n">
        <f aca="false">IF(N(AI179)&lt;=0.005,0,N(AI179)*(1+N('Min gæld'!$D$12)/12))</f>
        <v>0</v>
      </c>
      <c r="AH180" s="27" t="n">
        <f aca="false">IF(AG180&lt;=0,0,MIN(AG180,N('Min gæld'!$E$12)+AF180))</f>
        <v>0</v>
      </c>
      <c r="AI180" s="27" t="n">
        <f aca="false">IF(AG180-AH180&lt;0.005,0,AG180-AH180)</f>
        <v>0</v>
      </c>
      <c r="AJ180" s="27" t="n">
        <f aca="false">G180+K180+O180+S180+W180+AA180+AE180+AI180</f>
        <v>0</v>
      </c>
      <c r="AK180" s="28" t="n">
        <f aca="false">IF(E180&gt;0,E180-N(G179),0)+IF(I180&gt;0,I180-N(K179),0)+IF(M180&gt;0,M180-N(O179),0)+IF(Q180&gt;0,Q180-N(S179),0)+IF(U180&gt;0,U180-N(W179),0)+IF(Y180&gt;0,Y180-N(AA179),0)+IF(AC180&gt;0,AC180-N(AE179),0)+IF(AG180&gt;0,AG180-N(AI179),0)</f>
        <v>0</v>
      </c>
    </row>
    <row r="181" customFormat="false" ht="15" hidden="false" customHeight="false" outlineLevel="0" collapsed="false">
      <c r="A181" s="25" t="n">
        <v>176</v>
      </c>
      <c r="B181" s="26" t="n">
        <f aca="false">EDATE('Min gæld'!$C$16,175)</f>
        <v>51714</v>
      </c>
      <c r="C181" s="27" t="n">
        <f aca="false">N('Min gæld'!$C$15)+IF(N(G180)&lt;=0.005,N('Min gæld'!$E$5),0)+IF(N(K180)&lt;=0.005,N('Min gæld'!$E$6),0)+IF(N(O180)&lt;=0.005,N('Min gæld'!$E$7),0)+IF(N(S180)&lt;=0.005,N('Min gæld'!$E$8),0)+IF(N(W180)&lt;=0.005,N('Min gæld'!$E$9),0)+IF(N(AA180)&lt;=0.005,N('Min gæld'!$E$10),0)+IF(N(AE180)&lt;=0.005,N('Min gæld'!$E$11),0)+IF(N(AI180)&lt;=0.005,N('Min gæld'!$E$12),0)</f>
        <v>4800</v>
      </c>
      <c r="D181" s="27" t="n">
        <f aca="false">MAX(0,C181)</f>
        <v>4800</v>
      </c>
      <c r="E181" s="27" t="n">
        <f aca="false">IF(N(G180)&lt;=0.005,0,N(G180)*(1+N('Min gæld'!$D$5)/12))</f>
        <v>0</v>
      </c>
      <c r="F181" s="27" t="n">
        <f aca="false">IF(E181&lt;=0,0,MIN(E181,N('Min gæld'!$E$5)+D181))</f>
        <v>0</v>
      </c>
      <c r="G181" s="27" t="n">
        <f aca="false">IF(E181-F181&lt;0.005,0,E181-F181)</f>
        <v>0</v>
      </c>
      <c r="H181" s="27" t="n">
        <f aca="false">MAX(0,IF(N(G180)&lt;=0.005,D181,D181+N('Min gæld'!$E$5)-F181))</f>
        <v>4800</v>
      </c>
      <c r="I181" s="27" t="n">
        <f aca="false">IF(N(K180)&lt;=0.005,0,N(K180)*(1+N('Min gæld'!$D$6)/12))</f>
        <v>0</v>
      </c>
      <c r="J181" s="27" t="n">
        <f aca="false">IF(I181&lt;=0,0,MIN(I181,N('Min gæld'!$E$6)+H181))</f>
        <v>0</v>
      </c>
      <c r="K181" s="27" t="n">
        <f aca="false">IF(I181-J181&lt;0.005,0,I181-J181)</f>
        <v>0</v>
      </c>
      <c r="L181" s="27" t="n">
        <f aca="false">MAX(0,IF(N(K180)&lt;=0.005,H181,H181+N('Min gæld'!$E$6)-J181))</f>
        <v>4800</v>
      </c>
      <c r="M181" s="27" t="n">
        <f aca="false">IF(N(O180)&lt;=0.005,0,N(O180)*(1+N('Min gæld'!$D$7)/12))</f>
        <v>0</v>
      </c>
      <c r="N181" s="27" t="n">
        <f aca="false">IF(M181&lt;=0,0,MIN(M181,N('Min gæld'!$E$7)+L181))</f>
        <v>0</v>
      </c>
      <c r="O181" s="27" t="n">
        <f aca="false">IF(M181-N181&lt;0.005,0,M181-N181)</f>
        <v>0</v>
      </c>
      <c r="P181" s="27" t="n">
        <f aca="false">MAX(0,IF(N(O180)&lt;=0.005,L181,L181+N('Min gæld'!$E$7)-N181))</f>
        <v>4800</v>
      </c>
      <c r="Q181" s="27" t="n">
        <f aca="false">IF(N(S180)&lt;=0.005,0,N(S180)*(1+N('Min gæld'!$D$8)/12))</f>
        <v>0</v>
      </c>
      <c r="R181" s="27" t="n">
        <f aca="false">IF(Q181&lt;=0,0,MIN(Q181,N('Min gæld'!$E$8)+P181))</f>
        <v>0</v>
      </c>
      <c r="S181" s="27" t="n">
        <f aca="false">IF(Q181-R181&lt;0.005,0,Q181-R181)</f>
        <v>0</v>
      </c>
      <c r="T181" s="27" t="n">
        <f aca="false">MAX(0,IF(N(S180)&lt;=0.005,P181,P181+N('Min gæld'!$E$8)-R181))</f>
        <v>4800</v>
      </c>
      <c r="U181" s="27" t="n">
        <f aca="false">IF(N(W180)&lt;=0.005,0,N(W180)*(1+N('Min gæld'!$D$9)/12))</f>
        <v>0</v>
      </c>
      <c r="V181" s="27" t="n">
        <f aca="false">IF(U181&lt;=0,0,MIN(U181,N('Min gæld'!$E$9)+T181))</f>
        <v>0</v>
      </c>
      <c r="W181" s="27" t="n">
        <f aca="false">IF(U181-V181&lt;0.005,0,U181-V181)</f>
        <v>0</v>
      </c>
      <c r="X181" s="27" t="n">
        <f aca="false">MAX(0,IF(N(W180)&lt;=0.005,T181,T181+N('Min gæld'!$E$9)-V181))</f>
        <v>4800</v>
      </c>
      <c r="Y181" s="27" t="n">
        <f aca="false">IF(N(AA180)&lt;=0.005,0,N(AA180)*(1+N('Min gæld'!$D$10)/12))</f>
        <v>0</v>
      </c>
      <c r="Z181" s="27" t="n">
        <f aca="false">IF(Y181&lt;=0,0,MIN(Y181,N('Min gæld'!$E$10)+X181))</f>
        <v>0</v>
      </c>
      <c r="AA181" s="27" t="n">
        <f aca="false">IF(Y181-Z181&lt;0.005,0,Y181-Z181)</f>
        <v>0</v>
      </c>
      <c r="AB181" s="27" t="n">
        <f aca="false">MAX(0,IF(N(AA180)&lt;=0.005,X181,X181+N('Min gæld'!$E$10)-Z181))</f>
        <v>4800</v>
      </c>
      <c r="AC181" s="27" t="n">
        <f aca="false">IF(N(AE180)&lt;=0.005,0,N(AE180)*(1+N('Min gæld'!$D$11)/12))</f>
        <v>0</v>
      </c>
      <c r="AD181" s="27" t="n">
        <f aca="false">IF(AC181&lt;=0,0,MIN(AC181,N('Min gæld'!$E$11)+AB181))</f>
        <v>0</v>
      </c>
      <c r="AE181" s="27" t="n">
        <f aca="false">IF(AC181-AD181&lt;0.005,0,AC181-AD181)</f>
        <v>0</v>
      </c>
      <c r="AF181" s="27" t="n">
        <f aca="false">MAX(0,IF(N(AE180)&lt;=0.005,AB181,AB181+N('Min gæld'!$E$11)-AD181))</f>
        <v>4800</v>
      </c>
      <c r="AG181" s="27" t="n">
        <f aca="false">IF(N(AI180)&lt;=0.005,0,N(AI180)*(1+N('Min gæld'!$D$12)/12))</f>
        <v>0</v>
      </c>
      <c r="AH181" s="27" t="n">
        <f aca="false">IF(AG181&lt;=0,0,MIN(AG181,N('Min gæld'!$E$12)+AF181))</f>
        <v>0</v>
      </c>
      <c r="AI181" s="27" t="n">
        <f aca="false">IF(AG181-AH181&lt;0.005,0,AG181-AH181)</f>
        <v>0</v>
      </c>
      <c r="AJ181" s="27" t="n">
        <f aca="false">G181+K181+O181+S181+W181+AA181+AE181+AI181</f>
        <v>0</v>
      </c>
      <c r="AK181" s="28" t="n">
        <f aca="false">IF(E181&gt;0,E181-N(G180),0)+IF(I181&gt;0,I181-N(K180),0)+IF(M181&gt;0,M181-N(O180),0)+IF(Q181&gt;0,Q181-N(S180),0)+IF(U181&gt;0,U181-N(W180),0)+IF(Y181&gt;0,Y181-N(AA180),0)+IF(AC181&gt;0,AC181-N(AE180),0)+IF(AG181&gt;0,AG181-N(AI180),0)</f>
        <v>0</v>
      </c>
    </row>
    <row r="182" customFormat="false" ht="15" hidden="false" customHeight="false" outlineLevel="0" collapsed="false">
      <c r="A182" s="25" t="n">
        <v>177</v>
      </c>
      <c r="B182" s="26" t="n">
        <f aca="false">EDATE('Min gæld'!$C$16,176)</f>
        <v>51745</v>
      </c>
      <c r="C182" s="27" t="n">
        <f aca="false">N('Min gæld'!$C$15)+IF(N(G181)&lt;=0.005,N('Min gæld'!$E$5),0)+IF(N(K181)&lt;=0.005,N('Min gæld'!$E$6),0)+IF(N(O181)&lt;=0.005,N('Min gæld'!$E$7),0)+IF(N(S181)&lt;=0.005,N('Min gæld'!$E$8),0)+IF(N(W181)&lt;=0.005,N('Min gæld'!$E$9),0)+IF(N(AA181)&lt;=0.005,N('Min gæld'!$E$10),0)+IF(N(AE181)&lt;=0.005,N('Min gæld'!$E$11),0)+IF(N(AI181)&lt;=0.005,N('Min gæld'!$E$12),0)</f>
        <v>4800</v>
      </c>
      <c r="D182" s="27" t="n">
        <f aca="false">MAX(0,C182)</f>
        <v>4800</v>
      </c>
      <c r="E182" s="27" t="n">
        <f aca="false">IF(N(G181)&lt;=0.005,0,N(G181)*(1+N('Min gæld'!$D$5)/12))</f>
        <v>0</v>
      </c>
      <c r="F182" s="27" t="n">
        <f aca="false">IF(E182&lt;=0,0,MIN(E182,N('Min gæld'!$E$5)+D182))</f>
        <v>0</v>
      </c>
      <c r="G182" s="27" t="n">
        <f aca="false">IF(E182-F182&lt;0.005,0,E182-F182)</f>
        <v>0</v>
      </c>
      <c r="H182" s="27" t="n">
        <f aca="false">MAX(0,IF(N(G181)&lt;=0.005,D182,D182+N('Min gæld'!$E$5)-F182))</f>
        <v>4800</v>
      </c>
      <c r="I182" s="27" t="n">
        <f aca="false">IF(N(K181)&lt;=0.005,0,N(K181)*(1+N('Min gæld'!$D$6)/12))</f>
        <v>0</v>
      </c>
      <c r="J182" s="27" t="n">
        <f aca="false">IF(I182&lt;=0,0,MIN(I182,N('Min gæld'!$E$6)+H182))</f>
        <v>0</v>
      </c>
      <c r="K182" s="27" t="n">
        <f aca="false">IF(I182-J182&lt;0.005,0,I182-J182)</f>
        <v>0</v>
      </c>
      <c r="L182" s="27" t="n">
        <f aca="false">MAX(0,IF(N(K181)&lt;=0.005,H182,H182+N('Min gæld'!$E$6)-J182))</f>
        <v>4800</v>
      </c>
      <c r="M182" s="27" t="n">
        <f aca="false">IF(N(O181)&lt;=0.005,0,N(O181)*(1+N('Min gæld'!$D$7)/12))</f>
        <v>0</v>
      </c>
      <c r="N182" s="27" t="n">
        <f aca="false">IF(M182&lt;=0,0,MIN(M182,N('Min gæld'!$E$7)+L182))</f>
        <v>0</v>
      </c>
      <c r="O182" s="27" t="n">
        <f aca="false">IF(M182-N182&lt;0.005,0,M182-N182)</f>
        <v>0</v>
      </c>
      <c r="P182" s="27" t="n">
        <f aca="false">MAX(0,IF(N(O181)&lt;=0.005,L182,L182+N('Min gæld'!$E$7)-N182))</f>
        <v>4800</v>
      </c>
      <c r="Q182" s="27" t="n">
        <f aca="false">IF(N(S181)&lt;=0.005,0,N(S181)*(1+N('Min gæld'!$D$8)/12))</f>
        <v>0</v>
      </c>
      <c r="R182" s="27" t="n">
        <f aca="false">IF(Q182&lt;=0,0,MIN(Q182,N('Min gæld'!$E$8)+P182))</f>
        <v>0</v>
      </c>
      <c r="S182" s="27" t="n">
        <f aca="false">IF(Q182-R182&lt;0.005,0,Q182-R182)</f>
        <v>0</v>
      </c>
      <c r="T182" s="27" t="n">
        <f aca="false">MAX(0,IF(N(S181)&lt;=0.005,P182,P182+N('Min gæld'!$E$8)-R182))</f>
        <v>4800</v>
      </c>
      <c r="U182" s="27" t="n">
        <f aca="false">IF(N(W181)&lt;=0.005,0,N(W181)*(1+N('Min gæld'!$D$9)/12))</f>
        <v>0</v>
      </c>
      <c r="V182" s="27" t="n">
        <f aca="false">IF(U182&lt;=0,0,MIN(U182,N('Min gæld'!$E$9)+T182))</f>
        <v>0</v>
      </c>
      <c r="W182" s="27" t="n">
        <f aca="false">IF(U182-V182&lt;0.005,0,U182-V182)</f>
        <v>0</v>
      </c>
      <c r="X182" s="27" t="n">
        <f aca="false">MAX(0,IF(N(W181)&lt;=0.005,T182,T182+N('Min gæld'!$E$9)-V182))</f>
        <v>4800</v>
      </c>
      <c r="Y182" s="27" t="n">
        <f aca="false">IF(N(AA181)&lt;=0.005,0,N(AA181)*(1+N('Min gæld'!$D$10)/12))</f>
        <v>0</v>
      </c>
      <c r="Z182" s="27" t="n">
        <f aca="false">IF(Y182&lt;=0,0,MIN(Y182,N('Min gæld'!$E$10)+X182))</f>
        <v>0</v>
      </c>
      <c r="AA182" s="27" t="n">
        <f aca="false">IF(Y182-Z182&lt;0.005,0,Y182-Z182)</f>
        <v>0</v>
      </c>
      <c r="AB182" s="27" t="n">
        <f aca="false">MAX(0,IF(N(AA181)&lt;=0.005,X182,X182+N('Min gæld'!$E$10)-Z182))</f>
        <v>4800</v>
      </c>
      <c r="AC182" s="27" t="n">
        <f aca="false">IF(N(AE181)&lt;=0.005,0,N(AE181)*(1+N('Min gæld'!$D$11)/12))</f>
        <v>0</v>
      </c>
      <c r="AD182" s="27" t="n">
        <f aca="false">IF(AC182&lt;=0,0,MIN(AC182,N('Min gæld'!$E$11)+AB182))</f>
        <v>0</v>
      </c>
      <c r="AE182" s="27" t="n">
        <f aca="false">IF(AC182-AD182&lt;0.005,0,AC182-AD182)</f>
        <v>0</v>
      </c>
      <c r="AF182" s="27" t="n">
        <f aca="false">MAX(0,IF(N(AE181)&lt;=0.005,AB182,AB182+N('Min gæld'!$E$11)-AD182))</f>
        <v>4800</v>
      </c>
      <c r="AG182" s="27" t="n">
        <f aca="false">IF(N(AI181)&lt;=0.005,0,N(AI181)*(1+N('Min gæld'!$D$12)/12))</f>
        <v>0</v>
      </c>
      <c r="AH182" s="27" t="n">
        <f aca="false">IF(AG182&lt;=0,0,MIN(AG182,N('Min gæld'!$E$12)+AF182))</f>
        <v>0</v>
      </c>
      <c r="AI182" s="27" t="n">
        <f aca="false">IF(AG182-AH182&lt;0.005,0,AG182-AH182)</f>
        <v>0</v>
      </c>
      <c r="AJ182" s="27" t="n">
        <f aca="false">G182+K182+O182+S182+W182+AA182+AE182+AI182</f>
        <v>0</v>
      </c>
      <c r="AK182" s="28" t="n">
        <f aca="false">IF(E182&gt;0,E182-N(G181),0)+IF(I182&gt;0,I182-N(K181),0)+IF(M182&gt;0,M182-N(O181),0)+IF(Q182&gt;0,Q182-N(S181),0)+IF(U182&gt;0,U182-N(W181),0)+IF(Y182&gt;0,Y182-N(AA181),0)+IF(AC182&gt;0,AC182-N(AE181),0)+IF(AG182&gt;0,AG182-N(AI181),0)</f>
        <v>0</v>
      </c>
    </row>
    <row r="183" customFormat="false" ht="15" hidden="false" customHeight="false" outlineLevel="0" collapsed="false">
      <c r="A183" s="25" t="n">
        <v>178</v>
      </c>
      <c r="B183" s="26" t="n">
        <f aca="false">EDATE('Min gæld'!$C$16,177)</f>
        <v>51775</v>
      </c>
      <c r="C183" s="27" t="n">
        <f aca="false">N('Min gæld'!$C$15)+IF(N(G182)&lt;=0.005,N('Min gæld'!$E$5),0)+IF(N(K182)&lt;=0.005,N('Min gæld'!$E$6),0)+IF(N(O182)&lt;=0.005,N('Min gæld'!$E$7),0)+IF(N(S182)&lt;=0.005,N('Min gæld'!$E$8),0)+IF(N(W182)&lt;=0.005,N('Min gæld'!$E$9),0)+IF(N(AA182)&lt;=0.005,N('Min gæld'!$E$10),0)+IF(N(AE182)&lt;=0.005,N('Min gæld'!$E$11),0)+IF(N(AI182)&lt;=0.005,N('Min gæld'!$E$12),0)</f>
        <v>4800</v>
      </c>
      <c r="D183" s="27" t="n">
        <f aca="false">MAX(0,C183)</f>
        <v>4800</v>
      </c>
      <c r="E183" s="27" t="n">
        <f aca="false">IF(N(G182)&lt;=0.005,0,N(G182)*(1+N('Min gæld'!$D$5)/12))</f>
        <v>0</v>
      </c>
      <c r="F183" s="27" t="n">
        <f aca="false">IF(E183&lt;=0,0,MIN(E183,N('Min gæld'!$E$5)+D183))</f>
        <v>0</v>
      </c>
      <c r="G183" s="27" t="n">
        <f aca="false">IF(E183-F183&lt;0.005,0,E183-F183)</f>
        <v>0</v>
      </c>
      <c r="H183" s="27" t="n">
        <f aca="false">MAX(0,IF(N(G182)&lt;=0.005,D183,D183+N('Min gæld'!$E$5)-F183))</f>
        <v>4800</v>
      </c>
      <c r="I183" s="27" t="n">
        <f aca="false">IF(N(K182)&lt;=0.005,0,N(K182)*(1+N('Min gæld'!$D$6)/12))</f>
        <v>0</v>
      </c>
      <c r="J183" s="27" t="n">
        <f aca="false">IF(I183&lt;=0,0,MIN(I183,N('Min gæld'!$E$6)+H183))</f>
        <v>0</v>
      </c>
      <c r="K183" s="27" t="n">
        <f aca="false">IF(I183-J183&lt;0.005,0,I183-J183)</f>
        <v>0</v>
      </c>
      <c r="L183" s="27" t="n">
        <f aca="false">MAX(0,IF(N(K182)&lt;=0.005,H183,H183+N('Min gæld'!$E$6)-J183))</f>
        <v>4800</v>
      </c>
      <c r="M183" s="27" t="n">
        <f aca="false">IF(N(O182)&lt;=0.005,0,N(O182)*(1+N('Min gæld'!$D$7)/12))</f>
        <v>0</v>
      </c>
      <c r="N183" s="27" t="n">
        <f aca="false">IF(M183&lt;=0,0,MIN(M183,N('Min gæld'!$E$7)+L183))</f>
        <v>0</v>
      </c>
      <c r="O183" s="27" t="n">
        <f aca="false">IF(M183-N183&lt;0.005,0,M183-N183)</f>
        <v>0</v>
      </c>
      <c r="P183" s="27" t="n">
        <f aca="false">MAX(0,IF(N(O182)&lt;=0.005,L183,L183+N('Min gæld'!$E$7)-N183))</f>
        <v>4800</v>
      </c>
      <c r="Q183" s="27" t="n">
        <f aca="false">IF(N(S182)&lt;=0.005,0,N(S182)*(1+N('Min gæld'!$D$8)/12))</f>
        <v>0</v>
      </c>
      <c r="R183" s="27" t="n">
        <f aca="false">IF(Q183&lt;=0,0,MIN(Q183,N('Min gæld'!$E$8)+P183))</f>
        <v>0</v>
      </c>
      <c r="S183" s="27" t="n">
        <f aca="false">IF(Q183-R183&lt;0.005,0,Q183-R183)</f>
        <v>0</v>
      </c>
      <c r="T183" s="27" t="n">
        <f aca="false">MAX(0,IF(N(S182)&lt;=0.005,P183,P183+N('Min gæld'!$E$8)-R183))</f>
        <v>4800</v>
      </c>
      <c r="U183" s="27" t="n">
        <f aca="false">IF(N(W182)&lt;=0.005,0,N(W182)*(1+N('Min gæld'!$D$9)/12))</f>
        <v>0</v>
      </c>
      <c r="V183" s="27" t="n">
        <f aca="false">IF(U183&lt;=0,0,MIN(U183,N('Min gæld'!$E$9)+T183))</f>
        <v>0</v>
      </c>
      <c r="W183" s="27" t="n">
        <f aca="false">IF(U183-V183&lt;0.005,0,U183-V183)</f>
        <v>0</v>
      </c>
      <c r="X183" s="27" t="n">
        <f aca="false">MAX(0,IF(N(W182)&lt;=0.005,T183,T183+N('Min gæld'!$E$9)-V183))</f>
        <v>4800</v>
      </c>
      <c r="Y183" s="27" t="n">
        <f aca="false">IF(N(AA182)&lt;=0.005,0,N(AA182)*(1+N('Min gæld'!$D$10)/12))</f>
        <v>0</v>
      </c>
      <c r="Z183" s="27" t="n">
        <f aca="false">IF(Y183&lt;=0,0,MIN(Y183,N('Min gæld'!$E$10)+X183))</f>
        <v>0</v>
      </c>
      <c r="AA183" s="27" t="n">
        <f aca="false">IF(Y183-Z183&lt;0.005,0,Y183-Z183)</f>
        <v>0</v>
      </c>
      <c r="AB183" s="27" t="n">
        <f aca="false">MAX(0,IF(N(AA182)&lt;=0.005,X183,X183+N('Min gæld'!$E$10)-Z183))</f>
        <v>4800</v>
      </c>
      <c r="AC183" s="27" t="n">
        <f aca="false">IF(N(AE182)&lt;=0.005,0,N(AE182)*(1+N('Min gæld'!$D$11)/12))</f>
        <v>0</v>
      </c>
      <c r="AD183" s="27" t="n">
        <f aca="false">IF(AC183&lt;=0,0,MIN(AC183,N('Min gæld'!$E$11)+AB183))</f>
        <v>0</v>
      </c>
      <c r="AE183" s="27" t="n">
        <f aca="false">IF(AC183-AD183&lt;0.005,0,AC183-AD183)</f>
        <v>0</v>
      </c>
      <c r="AF183" s="27" t="n">
        <f aca="false">MAX(0,IF(N(AE182)&lt;=0.005,AB183,AB183+N('Min gæld'!$E$11)-AD183))</f>
        <v>4800</v>
      </c>
      <c r="AG183" s="27" t="n">
        <f aca="false">IF(N(AI182)&lt;=0.005,0,N(AI182)*(1+N('Min gæld'!$D$12)/12))</f>
        <v>0</v>
      </c>
      <c r="AH183" s="27" t="n">
        <f aca="false">IF(AG183&lt;=0,0,MIN(AG183,N('Min gæld'!$E$12)+AF183))</f>
        <v>0</v>
      </c>
      <c r="AI183" s="27" t="n">
        <f aca="false">IF(AG183-AH183&lt;0.005,0,AG183-AH183)</f>
        <v>0</v>
      </c>
      <c r="AJ183" s="27" t="n">
        <f aca="false">G183+K183+O183+S183+W183+AA183+AE183+AI183</f>
        <v>0</v>
      </c>
      <c r="AK183" s="28" t="n">
        <f aca="false">IF(E183&gt;0,E183-N(G182),0)+IF(I183&gt;0,I183-N(K182),0)+IF(M183&gt;0,M183-N(O182),0)+IF(Q183&gt;0,Q183-N(S182),0)+IF(U183&gt;0,U183-N(W182),0)+IF(Y183&gt;0,Y183-N(AA182),0)+IF(AC183&gt;0,AC183-N(AE182),0)+IF(AG183&gt;0,AG183-N(AI182),0)</f>
        <v>0</v>
      </c>
    </row>
    <row r="184" customFormat="false" ht="15" hidden="false" customHeight="false" outlineLevel="0" collapsed="false">
      <c r="A184" s="25" t="n">
        <v>179</v>
      </c>
      <c r="B184" s="26" t="n">
        <f aca="false">EDATE('Min gæld'!$C$16,178)</f>
        <v>51806</v>
      </c>
      <c r="C184" s="27" t="n">
        <f aca="false">N('Min gæld'!$C$15)+IF(N(G183)&lt;=0.005,N('Min gæld'!$E$5),0)+IF(N(K183)&lt;=0.005,N('Min gæld'!$E$6),0)+IF(N(O183)&lt;=0.005,N('Min gæld'!$E$7),0)+IF(N(S183)&lt;=0.005,N('Min gæld'!$E$8),0)+IF(N(W183)&lt;=0.005,N('Min gæld'!$E$9),0)+IF(N(AA183)&lt;=0.005,N('Min gæld'!$E$10),0)+IF(N(AE183)&lt;=0.005,N('Min gæld'!$E$11),0)+IF(N(AI183)&lt;=0.005,N('Min gæld'!$E$12),0)</f>
        <v>4800</v>
      </c>
      <c r="D184" s="27" t="n">
        <f aca="false">MAX(0,C184)</f>
        <v>4800</v>
      </c>
      <c r="E184" s="27" t="n">
        <f aca="false">IF(N(G183)&lt;=0.005,0,N(G183)*(1+N('Min gæld'!$D$5)/12))</f>
        <v>0</v>
      </c>
      <c r="F184" s="27" t="n">
        <f aca="false">IF(E184&lt;=0,0,MIN(E184,N('Min gæld'!$E$5)+D184))</f>
        <v>0</v>
      </c>
      <c r="G184" s="27" t="n">
        <f aca="false">IF(E184-F184&lt;0.005,0,E184-F184)</f>
        <v>0</v>
      </c>
      <c r="H184" s="27" t="n">
        <f aca="false">MAX(0,IF(N(G183)&lt;=0.005,D184,D184+N('Min gæld'!$E$5)-F184))</f>
        <v>4800</v>
      </c>
      <c r="I184" s="27" t="n">
        <f aca="false">IF(N(K183)&lt;=0.005,0,N(K183)*(1+N('Min gæld'!$D$6)/12))</f>
        <v>0</v>
      </c>
      <c r="J184" s="27" t="n">
        <f aca="false">IF(I184&lt;=0,0,MIN(I184,N('Min gæld'!$E$6)+H184))</f>
        <v>0</v>
      </c>
      <c r="K184" s="27" t="n">
        <f aca="false">IF(I184-J184&lt;0.005,0,I184-J184)</f>
        <v>0</v>
      </c>
      <c r="L184" s="27" t="n">
        <f aca="false">MAX(0,IF(N(K183)&lt;=0.005,H184,H184+N('Min gæld'!$E$6)-J184))</f>
        <v>4800</v>
      </c>
      <c r="M184" s="27" t="n">
        <f aca="false">IF(N(O183)&lt;=0.005,0,N(O183)*(1+N('Min gæld'!$D$7)/12))</f>
        <v>0</v>
      </c>
      <c r="N184" s="27" t="n">
        <f aca="false">IF(M184&lt;=0,0,MIN(M184,N('Min gæld'!$E$7)+L184))</f>
        <v>0</v>
      </c>
      <c r="O184" s="27" t="n">
        <f aca="false">IF(M184-N184&lt;0.005,0,M184-N184)</f>
        <v>0</v>
      </c>
      <c r="P184" s="27" t="n">
        <f aca="false">MAX(0,IF(N(O183)&lt;=0.005,L184,L184+N('Min gæld'!$E$7)-N184))</f>
        <v>4800</v>
      </c>
      <c r="Q184" s="27" t="n">
        <f aca="false">IF(N(S183)&lt;=0.005,0,N(S183)*(1+N('Min gæld'!$D$8)/12))</f>
        <v>0</v>
      </c>
      <c r="R184" s="27" t="n">
        <f aca="false">IF(Q184&lt;=0,0,MIN(Q184,N('Min gæld'!$E$8)+P184))</f>
        <v>0</v>
      </c>
      <c r="S184" s="27" t="n">
        <f aca="false">IF(Q184-R184&lt;0.005,0,Q184-R184)</f>
        <v>0</v>
      </c>
      <c r="T184" s="27" t="n">
        <f aca="false">MAX(0,IF(N(S183)&lt;=0.005,P184,P184+N('Min gæld'!$E$8)-R184))</f>
        <v>4800</v>
      </c>
      <c r="U184" s="27" t="n">
        <f aca="false">IF(N(W183)&lt;=0.005,0,N(W183)*(1+N('Min gæld'!$D$9)/12))</f>
        <v>0</v>
      </c>
      <c r="V184" s="27" t="n">
        <f aca="false">IF(U184&lt;=0,0,MIN(U184,N('Min gæld'!$E$9)+T184))</f>
        <v>0</v>
      </c>
      <c r="W184" s="27" t="n">
        <f aca="false">IF(U184-V184&lt;0.005,0,U184-V184)</f>
        <v>0</v>
      </c>
      <c r="X184" s="27" t="n">
        <f aca="false">MAX(0,IF(N(W183)&lt;=0.005,T184,T184+N('Min gæld'!$E$9)-V184))</f>
        <v>4800</v>
      </c>
      <c r="Y184" s="27" t="n">
        <f aca="false">IF(N(AA183)&lt;=0.005,0,N(AA183)*(1+N('Min gæld'!$D$10)/12))</f>
        <v>0</v>
      </c>
      <c r="Z184" s="27" t="n">
        <f aca="false">IF(Y184&lt;=0,0,MIN(Y184,N('Min gæld'!$E$10)+X184))</f>
        <v>0</v>
      </c>
      <c r="AA184" s="27" t="n">
        <f aca="false">IF(Y184-Z184&lt;0.005,0,Y184-Z184)</f>
        <v>0</v>
      </c>
      <c r="AB184" s="27" t="n">
        <f aca="false">MAX(0,IF(N(AA183)&lt;=0.005,X184,X184+N('Min gæld'!$E$10)-Z184))</f>
        <v>4800</v>
      </c>
      <c r="AC184" s="27" t="n">
        <f aca="false">IF(N(AE183)&lt;=0.005,0,N(AE183)*(1+N('Min gæld'!$D$11)/12))</f>
        <v>0</v>
      </c>
      <c r="AD184" s="27" t="n">
        <f aca="false">IF(AC184&lt;=0,0,MIN(AC184,N('Min gæld'!$E$11)+AB184))</f>
        <v>0</v>
      </c>
      <c r="AE184" s="27" t="n">
        <f aca="false">IF(AC184-AD184&lt;0.005,0,AC184-AD184)</f>
        <v>0</v>
      </c>
      <c r="AF184" s="27" t="n">
        <f aca="false">MAX(0,IF(N(AE183)&lt;=0.005,AB184,AB184+N('Min gæld'!$E$11)-AD184))</f>
        <v>4800</v>
      </c>
      <c r="AG184" s="27" t="n">
        <f aca="false">IF(N(AI183)&lt;=0.005,0,N(AI183)*(1+N('Min gæld'!$D$12)/12))</f>
        <v>0</v>
      </c>
      <c r="AH184" s="27" t="n">
        <f aca="false">IF(AG184&lt;=0,0,MIN(AG184,N('Min gæld'!$E$12)+AF184))</f>
        <v>0</v>
      </c>
      <c r="AI184" s="27" t="n">
        <f aca="false">IF(AG184-AH184&lt;0.005,0,AG184-AH184)</f>
        <v>0</v>
      </c>
      <c r="AJ184" s="27" t="n">
        <f aca="false">G184+K184+O184+S184+W184+AA184+AE184+AI184</f>
        <v>0</v>
      </c>
      <c r="AK184" s="28" t="n">
        <f aca="false">IF(E184&gt;0,E184-N(G183),0)+IF(I184&gt;0,I184-N(K183),0)+IF(M184&gt;0,M184-N(O183),0)+IF(Q184&gt;0,Q184-N(S183),0)+IF(U184&gt;0,U184-N(W183),0)+IF(Y184&gt;0,Y184-N(AA183),0)+IF(AC184&gt;0,AC184-N(AE183),0)+IF(AG184&gt;0,AG184-N(AI183),0)</f>
        <v>0</v>
      </c>
    </row>
    <row r="185" customFormat="false" ht="15" hidden="false" customHeight="false" outlineLevel="0" collapsed="false">
      <c r="A185" s="25" t="n">
        <v>180</v>
      </c>
      <c r="B185" s="26" t="n">
        <f aca="false">EDATE('Min gæld'!$C$16,179)</f>
        <v>51836</v>
      </c>
      <c r="C185" s="27" t="n">
        <f aca="false">N('Min gæld'!$C$15)+IF(N(G184)&lt;=0.005,N('Min gæld'!$E$5),0)+IF(N(K184)&lt;=0.005,N('Min gæld'!$E$6),0)+IF(N(O184)&lt;=0.005,N('Min gæld'!$E$7),0)+IF(N(S184)&lt;=0.005,N('Min gæld'!$E$8),0)+IF(N(W184)&lt;=0.005,N('Min gæld'!$E$9),0)+IF(N(AA184)&lt;=0.005,N('Min gæld'!$E$10),0)+IF(N(AE184)&lt;=0.005,N('Min gæld'!$E$11),0)+IF(N(AI184)&lt;=0.005,N('Min gæld'!$E$12),0)</f>
        <v>4800</v>
      </c>
      <c r="D185" s="27" t="n">
        <f aca="false">MAX(0,C185)</f>
        <v>4800</v>
      </c>
      <c r="E185" s="27" t="n">
        <f aca="false">IF(N(G184)&lt;=0.005,0,N(G184)*(1+N('Min gæld'!$D$5)/12))</f>
        <v>0</v>
      </c>
      <c r="F185" s="27" t="n">
        <f aca="false">IF(E185&lt;=0,0,MIN(E185,N('Min gæld'!$E$5)+D185))</f>
        <v>0</v>
      </c>
      <c r="G185" s="27" t="n">
        <f aca="false">IF(E185-F185&lt;0.005,0,E185-F185)</f>
        <v>0</v>
      </c>
      <c r="H185" s="27" t="n">
        <f aca="false">MAX(0,IF(N(G184)&lt;=0.005,D185,D185+N('Min gæld'!$E$5)-F185))</f>
        <v>4800</v>
      </c>
      <c r="I185" s="27" t="n">
        <f aca="false">IF(N(K184)&lt;=0.005,0,N(K184)*(1+N('Min gæld'!$D$6)/12))</f>
        <v>0</v>
      </c>
      <c r="J185" s="27" t="n">
        <f aca="false">IF(I185&lt;=0,0,MIN(I185,N('Min gæld'!$E$6)+H185))</f>
        <v>0</v>
      </c>
      <c r="K185" s="27" t="n">
        <f aca="false">IF(I185-J185&lt;0.005,0,I185-J185)</f>
        <v>0</v>
      </c>
      <c r="L185" s="27" t="n">
        <f aca="false">MAX(0,IF(N(K184)&lt;=0.005,H185,H185+N('Min gæld'!$E$6)-J185))</f>
        <v>4800</v>
      </c>
      <c r="M185" s="27" t="n">
        <f aca="false">IF(N(O184)&lt;=0.005,0,N(O184)*(1+N('Min gæld'!$D$7)/12))</f>
        <v>0</v>
      </c>
      <c r="N185" s="27" t="n">
        <f aca="false">IF(M185&lt;=0,0,MIN(M185,N('Min gæld'!$E$7)+L185))</f>
        <v>0</v>
      </c>
      <c r="O185" s="27" t="n">
        <f aca="false">IF(M185-N185&lt;0.005,0,M185-N185)</f>
        <v>0</v>
      </c>
      <c r="P185" s="27" t="n">
        <f aca="false">MAX(0,IF(N(O184)&lt;=0.005,L185,L185+N('Min gæld'!$E$7)-N185))</f>
        <v>4800</v>
      </c>
      <c r="Q185" s="27" t="n">
        <f aca="false">IF(N(S184)&lt;=0.005,0,N(S184)*(1+N('Min gæld'!$D$8)/12))</f>
        <v>0</v>
      </c>
      <c r="R185" s="27" t="n">
        <f aca="false">IF(Q185&lt;=0,0,MIN(Q185,N('Min gæld'!$E$8)+P185))</f>
        <v>0</v>
      </c>
      <c r="S185" s="27" t="n">
        <f aca="false">IF(Q185-R185&lt;0.005,0,Q185-R185)</f>
        <v>0</v>
      </c>
      <c r="T185" s="27" t="n">
        <f aca="false">MAX(0,IF(N(S184)&lt;=0.005,P185,P185+N('Min gæld'!$E$8)-R185))</f>
        <v>4800</v>
      </c>
      <c r="U185" s="27" t="n">
        <f aca="false">IF(N(W184)&lt;=0.005,0,N(W184)*(1+N('Min gæld'!$D$9)/12))</f>
        <v>0</v>
      </c>
      <c r="V185" s="27" t="n">
        <f aca="false">IF(U185&lt;=0,0,MIN(U185,N('Min gæld'!$E$9)+T185))</f>
        <v>0</v>
      </c>
      <c r="W185" s="27" t="n">
        <f aca="false">IF(U185-V185&lt;0.005,0,U185-V185)</f>
        <v>0</v>
      </c>
      <c r="X185" s="27" t="n">
        <f aca="false">MAX(0,IF(N(W184)&lt;=0.005,T185,T185+N('Min gæld'!$E$9)-V185))</f>
        <v>4800</v>
      </c>
      <c r="Y185" s="27" t="n">
        <f aca="false">IF(N(AA184)&lt;=0.005,0,N(AA184)*(1+N('Min gæld'!$D$10)/12))</f>
        <v>0</v>
      </c>
      <c r="Z185" s="27" t="n">
        <f aca="false">IF(Y185&lt;=0,0,MIN(Y185,N('Min gæld'!$E$10)+X185))</f>
        <v>0</v>
      </c>
      <c r="AA185" s="27" t="n">
        <f aca="false">IF(Y185-Z185&lt;0.005,0,Y185-Z185)</f>
        <v>0</v>
      </c>
      <c r="AB185" s="27" t="n">
        <f aca="false">MAX(0,IF(N(AA184)&lt;=0.005,X185,X185+N('Min gæld'!$E$10)-Z185))</f>
        <v>4800</v>
      </c>
      <c r="AC185" s="27" t="n">
        <f aca="false">IF(N(AE184)&lt;=0.005,0,N(AE184)*(1+N('Min gæld'!$D$11)/12))</f>
        <v>0</v>
      </c>
      <c r="AD185" s="27" t="n">
        <f aca="false">IF(AC185&lt;=0,0,MIN(AC185,N('Min gæld'!$E$11)+AB185))</f>
        <v>0</v>
      </c>
      <c r="AE185" s="27" t="n">
        <f aca="false">IF(AC185-AD185&lt;0.005,0,AC185-AD185)</f>
        <v>0</v>
      </c>
      <c r="AF185" s="27" t="n">
        <f aca="false">MAX(0,IF(N(AE184)&lt;=0.005,AB185,AB185+N('Min gæld'!$E$11)-AD185))</f>
        <v>4800</v>
      </c>
      <c r="AG185" s="27" t="n">
        <f aca="false">IF(N(AI184)&lt;=0.005,0,N(AI184)*(1+N('Min gæld'!$D$12)/12))</f>
        <v>0</v>
      </c>
      <c r="AH185" s="27" t="n">
        <f aca="false">IF(AG185&lt;=0,0,MIN(AG185,N('Min gæld'!$E$12)+AF185))</f>
        <v>0</v>
      </c>
      <c r="AI185" s="27" t="n">
        <f aca="false">IF(AG185-AH185&lt;0.005,0,AG185-AH185)</f>
        <v>0</v>
      </c>
      <c r="AJ185" s="27" t="n">
        <f aca="false">G185+K185+O185+S185+W185+AA185+AE185+AI185</f>
        <v>0</v>
      </c>
      <c r="AK185" s="28" t="n">
        <f aca="false">IF(E185&gt;0,E185-N(G184),0)+IF(I185&gt;0,I185-N(K184),0)+IF(M185&gt;0,M185-N(O184),0)+IF(Q185&gt;0,Q185-N(S184),0)+IF(U185&gt;0,U185-N(W184),0)+IF(Y185&gt;0,Y185-N(AA184),0)+IF(AC185&gt;0,AC185-N(AE184),0)+IF(AG185&gt;0,AG185-N(AI184),0)</f>
        <v>0</v>
      </c>
    </row>
    <row r="186" customFormat="false" ht="15" hidden="false" customHeight="false" outlineLevel="0" collapsed="false">
      <c r="A186" s="25" t="n">
        <v>181</v>
      </c>
      <c r="B186" s="26" t="n">
        <f aca="false">EDATE('Min gæld'!$C$16,180)</f>
        <v>51867</v>
      </c>
      <c r="C186" s="27" t="n">
        <f aca="false">N('Min gæld'!$C$15)+IF(N(G185)&lt;=0.005,N('Min gæld'!$E$5),0)+IF(N(K185)&lt;=0.005,N('Min gæld'!$E$6),0)+IF(N(O185)&lt;=0.005,N('Min gæld'!$E$7),0)+IF(N(S185)&lt;=0.005,N('Min gæld'!$E$8),0)+IF(N(W185)&lt;=0.005,N('Min gæld'!$E$9),0)+IF(N(AA185)&lt;=0.005,N('Min gæld'!$E$10),0)+IF(N(AE185)&lt;=0.005,N('Min gæld'!$E$11),0)+IF(N(AI185)&lt;=0.005,N('Min gæld'!$E$12),0)</f>
        <v>4800</v>
      </c>
      <c r="D186" s="27" t="n">
        <f aca="false">MAX(0,C186)</f>
        <v>4800</v>
      </c>
      <c r="E186" s="27" t="n">
        <f aca="false">IF(N(G185)&lt;=0.005,0,N(G185)*(1+N('Min gæld'!$D$5)/12))</f>
        <v>0</v>
      </c>
      <c r="F186" s="27" t="n">
        <f aca="false">IF(E186&lt;=0,0,MIN(E186,N('Min gæld'!$E$5)+D186))</f>
        <v>0</v>
      </c>
      <c r="G186" s="27" t="n">
        <f aca="false">IF(E186-F186&lt;0.005,0,E186-F186)</f>
        <v>0</v>
      </c>
      <c r="H186" s="27" t="n">
        <f aca="false">MAX(0,IF(N(G185)&lt;=0.005,D186,D186+N('Min gæld'!$E$5)-F186))</f>
        <v>4800</v>
      </c>
      <c r="I186" s="27" t="n">
        <f aca="false">IF(N(K185)&lt;=0.005,0,N(K185)*(1+N('Min gæld'!$D$6)/12))</f>
        <v>0</v>
      </c>
      <c r="J186" s="27" t="n">
        <f aca="false">IF(I186&lt;=0,0,MIN(I186,N('Min gæld'!$E$6)+H186))</f>
        <v>0</v>
      </c>
      <c r="K186" s="27" t="n">
        <f aca="false">IF(I186-J186&lt;0.005,0,I186-J186)</f>
        <v>0</v>
      </c>
      <c r="L186" s="27" t="n">
        <f aca="false">MAX(0,IF(N(K185)&lt;=0.005,H186,H186+N('Min gæld'!$E$6)-J186))</f>
        <v>4800</v>
      </c>
      <c r="M186" s="27" t="n">
        <f aca="false">IF(N(O185)&lt;=0.005,0,N(O185)*(1+N('Min gæld'!$D$7)/12))</f>
        <v>0</v>
      </c>
      <c r="N186" s="27" t="n">
        <f aca="false">IF(M186&lt;=0,0,MIN(M186,N('Min gæld'!$E$7)+L186))</f>
        <v>0</v>
      </c>
      <c r="O186" s="27" t="n">
        <f aca="false">IF(M186-N186&lt;0.005,0,M186-N186)</f>
        <v>0</v>
      </c>
      <c r="P186" s="27" t="n">
        <f aca="false">MAX(0,IF(N(O185)&lt;=0.005,L186,L186+N('Min gæld'!$E$7)-N186))</f>
        <v>4800</v>
      </c>
      <c r="Q186" s="27" t="n">
        <f aca="false">IF(N(S185)&lt;=0.005,0,N(S185)*(1+N('Min gæld'!$D$8)/12))</f>
        <v>0</v>
      </c>
      <c r="R186" s="27" t="n">
        <f aca="false">IF(Q186&lt;=0,0,MIN(Q186,N('Min gæld'!$E$8)+P186))</f>
        <v>0</v>
      </c>
      <c r="S186" s="27" t="n">
        <f aca="false">IF(Q186-R186&lt;0.005,0,Q186-R186)</f>
        <v>0</v>
      </c>
      <c r="T186" s="27" t="n">
        <f aca="false">MAX(0,IF(N(S185)&lt;=0.005,P186,P186+N('Min gæld'!$E$8)-R186))</f>
        <v>4800</v>
      </c>
      <c r="U186" s="27" t="n">
        <f aca="false">IF(N(W185)&lt;=0.005,0,N(W185)*(1+N('Min gæld'!$D$9)/12))</f>
        <v>0</v>
      </c>
      <c r="V186" s="27" t="n">
        <f aca="false">IF(U186&lt;=0,0,MIN(U186,N('Min gæld'!$E$9)+T186))</f>
        <v>0</v>
      </c>
      <c r="W186" s="27" t="n">
        <f aca="false">IF(U186-V186&lt;0.005,0,U186-V186)</f>
        <v>0</v>
      </c>
      <c r="X186" s="27" t="n">
        <f aca="false">MAX(0,IF(N(W185)&lt;=0.005,T186,T186+N('Min gæld'!$E$9)-V186))</f>
        <v>4800</v>
      </c>
      <c r="Y186" s="27" t="n">
        <f aca="false">IF(N(AA185)&lt;=0.005,0,N(AA185)*(1+N('Min gæld'!$D$10)/12))</f>
        <v>0</v>
      </c>
      <c r="Z186" s="27" t="n">
        <f aca="false">IF(Y186&lt;=0,0,MIN(Y186,N('Min gæld'!$E$10)+X186))</f>
        <v>0</v>
      </c>
      <c r="AA186" s="27" t="n">
        <f aca="false">IF(Y186-Z186&lt;0.005,0,Y186-Z186)</f>
        <v>0</v>
      </c>
      <c r="AB186" s="27" t="n">
        <f aca="false">MAX(0,IF(N(AA185)&lt;=0.005,X186,X186+N('Min gæld'!$E$10)-Z186))</f>
        <v>4800</v>
      </c>
      <c r="AC186" s="27" t="n">
        <f aca="false">IF(N(AE185)&lt;=0.005,0,N(AE185)*(1+N('Min gæld'!$D$11)/12))</f>
        <v>0</v>
      </c>
      <c r="AD186" s="27" t="n">
        <f aca="false">IF(AC186&lt;=0,0,MIN(AC186,N('Min gæld'!$E$11)+AB186))</f>
        <v>0</v>
      </c>
      <c r="AE186" s="27" t="n">
        <f aca="false">IF(AC186-AD186&lt;0.005,0,AC186-AD186)</f>
        <v>0</v>
      </c>
      <c r="AF186" s="27" t="n">
        <f aca="false">MAX(0,IF(N(AE185)&lt;=0.005,AB186,AB186+N('Min gæld'!$E$11)-AD186))</f>
        <v>4800</v>
      </c>
      <c r="AG186" s="27" t="n">
        <f aca="false">IF(N(AI185)&lt;=0.005,0,N(AI185)*(1+N('Min gæld'!$D$12)/12))</f>
        <v>0</v>
      </c>
      <c r="AH186" s="27" t="n">
        <f aca="false">IF(AG186&lt;=0,0,MIN(AG186,N('Min gæld'!$E$12)+AF186))</f>
        <v>0</v>
      </c>
      <c r="AI186" s="27" t="n">
        <f aca="false">IF(AG186-AH186&lt;0.005,0,AG186-AH186)</f>
        <v>0</v>
      </c>
      <c r="AJ186" s="27" t="n">
        <f aca="false">G186+K186+O186+S186+W186+AA186+AE186+AI186</f>
        <v>0</v>
      </c>
      <c r="AK186" s="28" t="n">
        <f aca="false">IF(E186&gt;0,E186-N(G185),0)+IF(I186&gt;0,I186-N(K185),0)+IF(M186&gt;0,M186-N(O185),0)+IF(Q186&gt;0,Q186-N(S185),0)+IF(U186&gt;0,U186-N(W185),0)+IF(Y186&gt;0,Y186-N(AA185),0)+IF(AC186&gt;0,AC186-N(AE185),0)+IF(AG186&gt;0,AG186-N(AI185),0)</f>
        <v>0</v>
      </c>
    </row>
    <row r="187" customFormat="false" ht="15" hidden="false" customHeight="false" outlineLevel="0" collapsed="false">
      <c r="A187" s="25" t="n">
        <v>182</v>
      </c>
      <c r="B187" s="26" t="n">
        <f aca="false">EDATE('Min gæld'!$C$16,181)</f>
        <v>51898</v>
      </c>
      <c r="C187" s="27" t="n">
        <f aca="false">N('Min gæld'!$C$15)+IF(N(G186)&lt;=0.005,N('Min gæld'!$E$5),0)+IF(N(K186)&lt;=0.005,N('Min gæld'!$E$6),0)+IF(N(O186)&lt;=0.005,N('Min gæld'!$E$7),0)+IF(N(S186)&lt;=0.005,N('Min gæld'!$E$8),0)+IF(N(W186)&lt;=0.005,N('Min gæld'!$E$9),0)+IF(N(AA186)&lt;=0.005,N('Min gæld'!$E$10),0)+IF(N(AE186)&lt;=0.005,N('Min gæld'!$E$11),0)+IF(N(AI186)&lt;=0.005,N('Min gæld'!$E$12),0)</f>
        <v>4800</v>
      </c>
      <c r="D187" s="27" t="n">
        <f aca="false">MAX(0,C187)</f>
        <v>4800</v>
      </c>
      <c r="E187" s="27" t="n">
        <f aca="false">IF(N(G186)&lt;=0.005,0,N(G186)*(1+N('Min gæld'!$D$5)/12))</f>
        <v>0</v>
      </c>
      <c r="F187" s="27" t="n">
        <f aca="false">IF(E187&lt;=0,0,MIN(E187,N('Min gæld'!$E$5)+D187))</f>
        <v>0</v>
      </c>
      <c r="G187" s="27" t="n">
        <f aca="false">IF(E187-F187&lt;0.005,0,E187-F187)</f>
        <v>0</v>
      </c>
      <c r="H187" s="27" t="n">
        <f aca="false">MAX(0,IF(N(G186)&lt;=0.005,D187,D187+N('Min gæld'!$E$5)-F187))</f>
        <v>4800</v>
      </c>
      <c r="I187" s="27" t="n">
        <f aca="false">IF(N(K186)&lt;=0.005,0,N(K186)*(1+N('Min gæld'!$D$6)/12))</f>
        <v>0</v>
      </c>
      <c r="J187" s="27" t="n">
        <f aca="false">IF(I187&lt;=0,0,MIN(I187,N('Min gæld'!$E$6)+H187))</f>
        <v>0</v>
      </c>
      <c r="K187" s="27" t="n">
        <f aca="false">IF(I187-J187&lt;0.005,0,I187-J187)</f>
        <v>0</v>
      </c>
      <c r="L187" s="27" t="n">
        <f aca="false">MAX(0,IF(N(K186)&lt;=0.005,H187,H187+N('Min gæld'!$E$6)-J187))</f>
        <v>4800</v>
      </c>
      <c r="M187" s="27" t="n">
        <f aca="false">IF(N(O186)&lt;=0.005,0,N(O186)*(1+N('Min gæld'!$D$7)/12))</f>
        <v>0</v>
      </c>
      <c r="N187" s="27" t="n">
        <f aca="false">IF(M187&lt;=0,0,MIN(M187,N('Min gæld'!$E$7)+L187))</f>
        <v>0</v>
      </c>
      <c r="O187" s="27" t="n">
        <f aca="false">IF(M187-N187&lt;0.005,0,M187-N187)</f>
        <v>0</v>
      </c>
      <c r="P187" s="27" t="n">
        <f aca="false">MAX(0,IF(N(O186)&lt;=0.005,L187,L187+N('Min gæld'!$E$7)-N187))</f>
        <v>4800</v>
      </c>
      <c r="Q187" s="27" t="n">
        <f aca="false">IF(N(S186)&lt;=0.005,0,N(S186)*(1+N('Min gæld'!$D$8)/12))</f>
        <v>0</v>
      </c>
      <c r="R187" s="27" t="n">
        <f aca="false">IF(Q187&lt;=0,0,MIN(Q187,N('Min gæld'!$E$8)+P187))</f>
        <v>0</v>
      </c>
      <c r="S187" s="27" t="n">
        <f aca="false">IF(Q187-R187&lt;0.005,0,Q187-R187)</f>
        <v>0</v>
      </c>
      <c r="T187" s="27" t="n">
        <f aca="false">MAX(0,IF(N(S186)&lt;=0.005,P187,P187+N('Min gæld'!$E$8)-R187))</f>
        <v>4800</v>
      </c>
      <c r="U187" s="27" t="n">
        <f aca="false">IF(N(W186)&lt;=0.005,0,N(W186)*(1+N('Min gæld'!$D$9)/12))</f>
        <v>0</v>
      </c>
      <c r="V187" s="27" t="n">
        <f aca="false">IF(U187&lt;=0,0,MIN(U187,N('Min gæld'!$E$9)+T187))</f>
        <v>0</v>
      </c>
      <c r="W187" s="27" t="n">
        <f aca="false">IF(U187-V187&lt;0.005,0,U187-V187)</f>
        <v>0</v>
      </c>
      <c r="X187" s="27" t="n">
        <f aca="false">MAX(0,IF(N(W186)&lt;=0.005,T187,T187+N('Min gæld'!$E$9)-V187))</f>
        <v>4800</v>
      </c>
      <c r="Y187" s="27" t="n">
        <f aca="false">IF(N(AA186)&lt;=0.005,0,N(AA186)*(1+N('Min gæld'!$D$10)/12))</f>
        <v>0</v>
      </c>
      <c r="Z187" s="27" t="n">
        <f aca="false">IF(Y187&lt;=0,0,MIN(Y187,N('Min gæld'!$E$10)+X187))</f>
        <v>0</v>
      </c>
      <c r="AA187" s="27" t="n">
        <f aca="false">IF(Y187-Z187&lt;0.005,0,Y187-Z187)</f>
        <v>0</v>
      </c>
      <c r="AB187" s="27" t="n">
        <f aca="false">MAX(0,IF(N(AA186)&lt;=0.005,X187,X187+N('Min gæld'!$E$10)-Z187))</f>
        <v>4800</v>
      </c>
      <c r="AC187" s="27" t="n">
        <f aca="false">IF(N(AE186)&lt;=0.005,0,N(AE186)*(1+N('Min gæld'!$D$11)/12))</f>
        <v>0</v>
      </c>
      <c r="AD187" s="27" t="n">
        <f aca="false">IF(AC187&lt;=0,0,MIN(AC187,N('Min gæld'!$E$11)+AB187))</f>
        <v>0</v>
      </c>
      <c r="AE187" s="27" t="n">
        <f aca="false">IF(AC187-AD187&lt;0.005,0,AC187-AD187)</f>
        <v>0</v>
      </c>
      <c r="AF187" s="27" t="n">
        <f aca="false">MAX(0,IF(N(AE186)&lt;=0.005,AB187,AB187+N('Min gæld'!$E$11)-AD187))</f>
        <v>4800</v>
      </c>
      <c r="AG187" s="27" t="n">
        <f aca="false">IF(N(AI186)&lt;=0.005,0,N(AI186)*(1+N('Min gæld'!$D$12)/12))</f>
        <v>0</v>
      </c>
      <c r="AH187" s="27" t="n">
        <f aca="false">IF(AG187&lt;=0,0,MIN(AG187,N('Min gæld'!$E$12)+AF187))</f>
        <v>0</v>
      </c>
      <c r="AI187" s="27" t="n">
        <f aca="false">IF(AG187-AH187&lt;0.005,0,AG187-AH187)</f>
        <v>0</v>
      </c>
      <c r="AJ187" s="27" t="n">
        <f aca="false">G187+K187+O187+S187+W187+AA187+AE187+AI187</f>
        <v>0</v>
      </c>
      <c r="AK187" s="28" t="n">
        <f aca="false">IF(E187&gt;0,E187-N(G186),0)+IF(I187&gt;0,I187-N(K186),0)+IF(M187&gt;0,M187-N(O186),0)+IF(Q187&gt;0,Q187-N(S186),0)+IF(U187&gt;0,U187-N(W186),0)+IF(Y187&gt;0,Y187-N(AA186),0)+IF(AC187&gt;0,AC187-N(AE186),0)+IF(AG187&gt;0,AG187-N(AI186),0)</f>
        <v>0</v>
      </c>
    </row>
    <row r="188" customFormat="false" ht="15" hidden="false" customHeight="false" outlineLevel="0" collapsed="false">
      <c r="A188" s="25" t="n">
        <v>183</v>
      </c>
      <c r="B188" s="26" t="n">
        <f aca="false">EDATE('Min gæld'!$C$16,182)</f>
        <v>51926</v>
      </c>
      <c r="C188" s="27" t="n">
        <f aca="false">N('Min gæld'!$C$15)+IF(N(G187)&lt;=0.005,N('Min gæld'!$E$5),0)+IF(N(K187)&lt;=0.005,N('Min gæld'!$E$6),0)+IF(N(O187)&lt;=0.005,N('Min gæld'!$E$7),0)+IF(N(S187)&lt;=0.005,N('Min gæld'!$E$8),0)+IF(N(W187)&lt;=0.005,N('Min gæld'!$E$9),0)+IF(N(AA187)&lt;=0.005,N('Min gæld'!$E$10),0)+IF(N(AE187)&lt;=0.005,N('Min gæld'!$E$11),0)+IF(N(AI187)&lt;=0.005,N('Min gæld'!$E$12),0)</f>
        <v>4800</v>
      </c>
      <c r="D188" s="27" t="n">
        <f aca="false">MAX(0,C188)</f>
        <v>4800</v>
      </c>
      <c r="E188" s="27" t="n">
        <f aca="false">IF(N(G187)&lt;=0.005,0,N(G187)*(1+N('Min gæld'!$D$5)/12))</f>
        <v>0</v>
      </c>
      <c r="F188" s="27" t="n">
        <f aca="false">IF(E188&lt;=0,0,MIN(E188,N('Min gæld'!$E$5)+D188))</f>
        <v>0</v>
      </c>
      <c r="G188" s="27" t="n">
        <f aca="false">IF(E188-F188&lt;0.005,0,E188-F188)</f>
        <v>0</v>
      </c>
      <c r="H188" s="27" t="n">
        <f aca="false">MAX(0,IF(N(G187)&lt;=0.005,D188,D188+N('Min gæld'!$E$5)-F188))</f>
        <v>4800</v>
      </c>
      <c r="I188" s="27" t="n">
        <f aca="false">IF(N(K187)&lt;=0.005,0,N(K187)*(1+N('Min gæld'!$D$6)/12))</f>
        <v>0</v>
      </c>
      <c r="J188" s="27" t="n">
        <f aca="false">IF(I188&lt;=0,0,MIN(I188,N('Min gæld'!$E$6)+H188))</f>
        <v>0</v>
      </c>
      <c r="K188" s="27" t="n">
        <f aca="false">IF(I188-J188&lt;0.005,0,I188-J188)</f>
        <v>0</v>
      </c>
      <c r="L188" s="27" t="n">
        <f aca="false">MAX(0,IF(N(K187)&lt;=0.005,H188,H188+N('Min gæld'!$E$6)-J188))</f>
        <v>4800</v>
      </c>
      <c r="M188" s="27" t="n">
        <f aca="false">IF(N(O187)&lt;=0.005,0,N(O187)*(1+N('Min gæld'!$D$7)/12))</f>
        <v>0</v>
      </c>
      <c r="N188" s="27" t="n">
        <f aca="false">IF(M188&lt;=0,0,MIN(M188,N('Min gæld'!$E$7)+L188))</f>
        <v>0</v>
      </c>
      <c r="O188" s="27" t="n">
        <f aca="false">IF(M188-N188&lt;0.005,0,M188-N188)</f>
        <v>0</v>
      </c>
      <c r="P188" s="27" t="n">
        <f aca="false">MAX(0,IF(N(O187)&lt;=0.005,L188,L188+N('Min gæld'!$E$7)-N188))</f>
        <v>4800</v>
      </c>
      <c r="Q188" s="27" t="n">
        <f aca="false">IF(N(S187)&lt;=0.005,0,N(S187)*(1+N('Min gæld'!$D$8)/12))</f>
        <v>0</v>
      </c>
      <c r="R188" s="27" t="n">
        <f aca="false">IF(Q188&lt;=0,0,MIN(Q188,N('Min gæld'!$E$8)+P188))</f>
        <v>0</v>
      </c>
      <c r="S188" s="27" t="n">
        <f aca="false">IF(Q188-R188&lt;0.005,0,Q188-R188)</f>
        <v>0</v>
      </c>
      <c r="T188" s="27" t="n">
        <f aca="false">MAX(0,IF(N(S187)&lt;=0.005,P188,P188+N('Min gæld'!$E$8)-R188))</f>
        <v>4800</v>
      </c>
      <c r="U188" s="27" t="n">
        <f aca="false">IF(N(W187)&lt;=0.005,0,N(W187)*(1+N('Min gæld'!$D$9)/12))</f>
        <v>0</v>
      </c>
      <c r="V188" s="27" t="n">
        <f aca="false">IF(U188&lt;=0,0,MIN(U188,N('Min gæld'!$E$9)+T188))</f>
        <v>0</v>
      </c>
      <c r="W188" s="27" t="n">
        <f aca="false">IF(U188-V188&lt;0.005,0,U188-V188)</f>
        <v>0</v>
      </c>
      <c r="X188" s="27" t="n">
        <f aca="false">MAX(0,IF(N(W187)&lt;=0.005,T188,T188+N('Min gæld'!$E$9)-V188))</f>
        <v>4800</v>
      </c>
      <c r="Y188" s="27" t="n">
        <f aca="false">IF(N(AA187)&lt;=0.005,0,N(AA187)*(1+N('Min gæld'!$D$10)/12))</f>
        <v>0</v>
      </c>
      <c r="Z188" s="27" t="n">
        <f aca="false">IF(Y188&lt;=0,0,MIN(Y188,N('Min gæld'!$E$10)+X188))</f>
        <v>0</v>
      </c>
      <c r="AA188" s="27" t="n">
        <f aca="false">IF(Y188-Z188&lt;0.005,0,Y188-Z188)</f>
        <v>0</v>
      </c>
      <c r="AB188" s="27" t="n">
        <f aca="false">MAX(0,IF(N(AA187)&lt;=0.005,X188,X188+N('Min gæld'!$E$10)-Z188))</f>
        <v>4800</v>
      </c>
      <c r="AC188" s="27" t="n">
        <f aca="false">IF(N(AE187)&lt;=0.005,0,N(AE187)*(1+N('Min gæld'!$D$11)/12))</f>
        <v>0</v>
      </c>
      <c r="AD188" s="27" t="n">
        <f aca="false">IF(AC188&lt;=0,0,MIN(AC188,N('Min gæld'!$E$11)+AB188))</f>
        <v>0</v>
      </c>
      <c r="AE188" s="27" t="n">
        <f aca="false">IF(AC188-AD188&lt;0.005,0,AC188-AD188)</f>
        <v>0</v>
      </c>
      <c r="AF188" s="27" t="n">
        <f aca="false">MAX(0,IF(N(AE187)&lt;=0.005,AB188,AB188+N('Min gæld'!$E$11)-AD188))</f>
        <v>4800</v>
      </c>
      <c r="AG188" s="27" t="n">
        <f aca="false">IF(N(AI187)&lt;=0.005,0,N(AI187)*(1+N('Min gæld'!$D$12)/12))</f>
        <v>0</v>
      </c>
      <c r="AH188" s="27" t="n">
        <f aca="false">IF(AG188&lt;=0,0,MIN(AG188,N('Min gæld'!$E$12)+AF188))</f>
        <v>0</v>
      </c>
      <c r="AI188" s="27" t="n">
        <f aca="false">IF(AG188-AH188&lt;0.005,0,AG188-AH188)</f>
        <v>0</v>
      </c>
      <c r="AJ188" s="27" t="n">
        <f aca="false">G188+K188+O188+S188+W188+AA188+AE188+AI188</f>
        <v>0</v>
      </c>
      <c r="AK188" s="28" t="n">
        <f aca="false">IF(E188&gt;0,E188-N(G187),0)+IF(I188&gt;0,I188-N(K187),0)+IF(M188&gt;0,M188-N(O187),0)+IF(Q188&gt;0,Q188-N(S187),0)+IF(U188&gt;0,U188-N(W187),0)+IF(Y188&gt;0,Y188-N(AA187),0)+IF(AC188&gt;0,AC188-N(AE187),0)+IF(AG188&gt;0,AG188-N(AI187),0)</f>
        <v>0</v>
      </c>
    </row>
    <row r="189" customFormat="false" ht="15" hidden="false" customHeight="false" outlineLevel="0" collapsed="false">
      <c r="A189" s="25" t="n">
        <v>184</v>
      </c>
      <c r="B189" s="26" t="n">
        <f aca="false">EDATE('Min gæld'!$C$16,183)</f>
        <v>51957</v>
      </c>
      <c r="C189" s="27" t="n">
        <f aca="false">N('Min gæld'!$C$15)+IF(N(G188)&lt;=0.005,N('Min gæld'!$E$5),0)+IF(N(K188)&lt;=0.005,N('Min gæld'!$E$6),0)+IF(N(O188)&lt;=0.005,N('Min gæld'!$E$7),0)+IF(N(S188)&lt;=0.005,N('Min gæld'!$E$8),0)+IF(N(W188)&lt;=0.005,N('Min gæld'!$E$9),0)+IF(N(AA188)&lt;=0.005,N('Min gæld'!$E$10),0)+IF(N(AE188)&lt;=0.005,N('Min gæld'!$E$11),0)+IF(N(AI188)&lt;=0.005,N('Min gæld'!$E$12),0)</f>
        <v>4800</v>
      </c>
      <c r="D189" s="27" t="n">
        <f aca="false">MAX(0,C189)</f>
        <v>4800</v>
      </c>
      <c r="E189" s="27" t="n">
        <f aca="false">IF(N(G188)&lt;=0.005,0,N(G188)*(1+N('Min gæld'!$D$5)/12))</f>
        <v>0</v>
      </c>
      <c r="F189" s="27" t="n">
        <f aca="false">IF(E189&lt;=0,0,MIN(E189,N('Min gæld'!$E$5)+D189))</f>
        <v>0</v>
      </c>
      <c r="G189" s="27" t="n">
        <f aca="false">IF(E189-F189&lt;0.005,0,E189-F189)</f>
        <v>0</v>
      </c>
      <c r="H189" s="27" t="n">
        <f aca="false">MAX(0,IF(N(G188)&lt;=0.005,D189,D189+N('Min gæld'!$E$5)-F189))</f>
        <v>4800</v>
      </c>
      <c r="I189" s="27" t="n">
        <f aca="false">IF(N(K188)&lt;=0.005,0,N(K188)*(1+N('Min gæld'!$D$6)/12))</f>
        <v>0</v>
      </c>
      <c r="J189" s="27" t="n">
        <f aca="false">IF(I189&lt;=0,0,MIN(I189,N('Min gæld'!$E$6)+H189))</f>
        <v>0</v>
      </c>
      <c r="K189" s="27" t="n">
        <f aca="false">IF(I189-J189&lt;0.005,0,I189-J189)</f>
        <v>0</v>
      </c>
      <c r="L189" s="27" t="n">
        <f aca="false">MAX(0,IF(N(K188)&lt;=0.005,H189,H189+N('Min gæld'!$E$6)-J189))</f>
        <v>4800</v>
      </c>
      <c r="M189" s="27" t="n">
        <f aca="false">IF(N(O188)&lt;=0.005,0,N(O188)*(1+N('Min gæld'!$D$7)/12))</f>
        <v>0</v>
      </c>
      <c r="N189" s="27" t="n">
        <f aca="false">IF(M189&lt;=0,0,MIN(M189,N('Min gæld'!$E$7)+L189))</f>
        <v>0</v>
      </c>
      <c r="O189" s="27" t="n">
        <f aca="false">IF(M189-N189&lt;0.005,0,M189-N189)</f>
        <v>0</v>
      </c>
      <c r="P189" s="27" t="n">
        <f aca="false">MAX(0,IF(N(O188)&lt;=0.005,L189,L189+N('Min gæld'!$E$7)-N189))</f>
        <v>4800</v>
      </c>
      <c r="Q189" s="27" t="n">
        <f aca="false">IF(N(S188)&lt;=0.005,0,N(S188)*(1+N('Min gæld'!$D$8)/12))</f>
        <v>0</v>
      </c>
      <c r="R189" s="27" t="n">
        <f aca="false">IF(Q189&lt;=0,0,MIN(Q189,N('Min gæld'!$E$8)+P189))</f>
        <v>0</v>
      </c>
      <c r="S189" s="27" t="n">
        <f aca="false">IF(Q189-R189&lt;0.005,0,Q189-R189)</f>
        <v>0</v>
      </c>
      <c r="T189" s="27" t="n">
        <f aca="false">MAX(0,IF(N(S188)&lt;=0.005,P189,P189+N('Min gæld'!$E$8)-R189))</f>
        <v>4800</v>
      </c>
      <c r="U189" s="27" t="n">
        <f aca="false">IF(N(W188)&lt;=0.005,0,N(W188)*(1+N('Min gæld'!$D$9)/12))</f>
        <v>0</v>
      </c>
      <c r="V189" s="27" t="n">
        <f aca="false">IF(U189&lt;=0,0,MIN(U189,N('Min gæld'!$E$9)+T189))</f>
        <v>0</v>
      </c>
      <c r="W189" s="27" t="n">
        <f aca="false">IF(U189-V189&lt;0.005,0,U189-V189)</f>
        <v>0</v>
      </c>
      <c r="X189" s="27" t="n">
        <f aca="false">MAX(0,IF(N(W188)&lt;=0.005,T189,T189+N('Min gæld'!$E$9)-V189))</f>
        <v>4800</v>
      </c>
      <c r="Y189" s="27" t="n">
        <f aca="false">IF(N(AA188)&lt;=0.005,0,N(AA188)*(1+N('Min gæld'!$D$10)/12))</f>
        <v>0</v>
      </c>
      <c r="Z189" s="27" t="n">
        <f aca="false">IF(Y189&lt;=0,0,MIN(Y189,N('Min gæld'!$E$10)+X189))</f>
        <v>0</v>
      </c>
      <c r="AA189" s="27" t="n">
        <f aca="false">IF(Y189-Z189&lt;0.005,0,Y189-Z189)</f>
        <v>0</v>
      </c>
      <c r="AB189" s="27" t="n">
        <f aca="false">MAX(0,IF(N(AA188)&lt;=0.005,X189,X189+N('Min gæld'!$E$10)-Z189))</f>
        <v>4800</v>
      </c>
      <c r="AC189" s="27" t="n">
        <f aca="false">IF(N(AE188)&lt;=0.005,0,N(AE188)*(1+N('Min gæld'!$D$11)/12))</f>
        <v>0</v>
      </c>
      <c r="AD189" s="27" t="n">
        <f aca="false">IF(AC189&lt;=0,0,MIN(AC189,N('Min gæld'!$E$11)+AB189))</f>
        <v>0</v>
      </c>
      <c r="AE189" s="27" t="n">
        <f aca="false">IF(AC189-AD189&lt;0.005,0,AC189-AD189)</f>
        <v>0</v>
      </c>
      <c r="AF189" s="27" t="n">
        <f aca="false">MAX(0,IF(N(AE188)&lt;=0.005,AB189,AB189+N('Min gæld'!$E$11)-AD189))</f>
        <v>4800</v>
      </c>
      <c r="AG189" s="27" t="n">
        <f aca="false">IF(N(AI188)&lt;=0.005,0,N(AI188)*(1+N('Min gæld'!$D$12)/12))</f>
        <v>0</v>
      </c>
      <c r="AH189" s="27" t="n">
        <f aca="false">IF(AG189&lt;=0,0,MIN(AG189,N('Min gæld'!$E$12)+AF189))</f>
        <v>0</v>
      </c>
      <c r="AI189" s="27" t="n">
        <f aca="false">IF(AG189-AH189&lt;0.005,0,AG189-AH189)</f>
        <v>0</v>
      </c>
      <c r="AJ189" s="27" t="n">
        <f aca="false">G189+K189+O189+S189+W189+AA189+AE189+AI189</f>
        <v>0</v>
      </c>
      <c r="AK189" s="28" t="n">
        <f aca="false">IF(E189&gt;0,E189-N(G188),0)+IF(I189&gt;0,I189-N(K188),0)+IF(M189&gt;0,M189-N(O188),0)+IF(Q189&gt;0,Q189-N(S188),0)+IF(U189&gt;0,U189-N(W188),0)+IF(Y189&gt;0,Y189-N(AA188),0)+IF(AC189&gt;0,AC189-N(AE188),0)+IF(AG189&gt;0,AG189-N(AI188),0)</f>
        <v>0</v>
      </c>
    </row>
    <row r="190" customFormat="false" ht="15" hidden="false" customHeight="false" outlineLevel="0" collapsed="false">
      <c r="A190" s="25" t="n">
        <v>185</v>
      </c>
      <c r="B190" s="26" t="n">
        <f aca="false">EDATE('Min gæld'!$C$16,184)</f>
        <v>51987</v>
      </c>
      <c r="C190" s="27" t="n">
        <f aca="false">N('Min gæld'!$C$15)+IF(N(G189)&lt;=0.005,N('Min gæld'!$E$5),0)+IF(N(K189)&lt;=0.005,N('Min gæld'!$E$6),0)+IF(N(O189)&lt;=0.005,N('Min gæld'!$E$7),0)+IF(N(S189)&lt;=0.005,N('Min gæld'!$E$8),0)+IF(N(W189)&lt;=0.005,N('Min gæld'!$E$9),0)+IF(N(AA189)&lt;=0.005,N('Min gæld'!$E$10),0)+IF(N(AE189)&lt;=0.005,N('Min gæld'!$E$11),0)+IF(N(AI189)&lt;=0.005,N('Min gæld'!$E$12),0)</f>
        <v>4800</v>
      </c>
      <c r="D190" s="27" t="n">
        <f aca="false">MAX(0,C190)</f>
        <v>4800</v>
      </c>
      <c r="E190" s="27" t="n">
        <f aca="false">IF(N(G189)&lt;=0.005,0,N(G189)*(1+N('Min gæld'!$D$5)/12))</f>
        <v>0</v>
      </c>
      <c r="F190" s="27" t="n">
        <f aca="false">IF(E190&lt;=0,0,MIN(E190,N('Min gæld'!$E$5)+D190))</f>
        <v>0</v>
      </c>
      <c r="G190" s="27" t="n">
        <f aca="false">IF(E190-F190&lt;0.005,0,E190-F190)</f>
        <v>0</v>
      </c>
      <c r="H190" s="27" t="n">
        <f aca="false">MAX(0,IF(N(G189)&lt;=0.005,D190,D190+N('Min gæld'!$E$5)-F190))</f>
        <v>4800</v>
      </c>
      <c r="I190" s="27" t="n">
        <f aca="false">IF(N(K189)&lt;=0.005,0,N(K189)*(1+N('Min gæld'!$D$6)/12))</f>
        <v>0</v>
      </c>
      <c r="J190" s="27" t="n">
        <f aca="false">IF(I190&lt;=0,0,MIN(I190,N('Min gæld'!$E$6)+H190))</f>
        <v>0</v>
      </c>
      <c r="K190" s="27" t="n">
        <f aca="false">IF(I190-J190&lt;0.005,0,I190-J190)</f>
        <v>0</v>
      </c>
      <c r="L190" s="27" t="n">
        <f aca="false">MAX(0,IF(N(K189)&lt;=0.005,H190,H190+N('Min gæld'!$E$6)-J190))</f>
        <v>4800</v>
      </c>
      <c r="M190" s="27" t="n">
        <f aca="false">IF(N(O189)&lt;=0.005,0,N(O189)*(1+N('Min gæld'!$D$7)/12))</f>
        <v>0</v>
      </c>
      <c r="N190" s="27" t="n">
        <f aca="false">IF(M190&lt;=0,0,MIN(M190,N('Min gæld'!$E$7)+L190))</f>
        <v>0</v>
      </c>
      <c r="O190" s="27" t="n">
        <f aca="false">IF(M190-N190&lt;0.005,0,M190-N190)</f>
        <v>0</v>
      </c>
      <c r="P190" s="27" t="n">
        <f aca="false">MAX(0,IF(N(O189)&lt;=0.005,L190,L190+N('Min gæld'!$E$7)-N190))</f>
        <v>4800</v>
      </c>
      <c r="Q190" s="27" t="n">
        <f aca="false">IF(N(S189)&lt;=0.005,0,N(S189)*(1+N('Min gæld'!$D$8)/12))</f>
        <v>0</v>
      </c>
      <c r="R190" s="27" t="n">
        <f aca="false">IF(Q190&lt;=0,0,MIN(Q190,N('Min gæld'!$E$8)+P190))</f>
        <v>0</v>
      </c>
      <c r="S190" s="27" t="n">
        <f aca="false">IF(Q190-R190&lt;0.005,0,Q190-R190)</f>
        <v>0</v>
      </c>
      <c r="T190" s="27" t="n">
        <f aca="false">MAX(0,IF(N(S189)&lt;=0.005,P190,P190+N('Min gæld'!$E$8)-R190))</f>
        <v>4800</v>
      </c>
      <c r="U190" s="27" t="n">
        <f aca="false">IF(N(W189)&lt;=0.005,0,N(W189)*(1+N('Min gæld'!$D$9)/12))</f>
        <v>0</v>
      </c>
      <c r="V190" s="27" t="n">
        <f aca="false">IF(U190&lt;=0,0,MIN(U190,N('Min gæld'!$E$9)+T190))</f>
        <v>0</v>
      </c>
      <c r="W190" s="27" t="n">
        <f aca="false">IF(U190-V190&lt;0.005,0,U190-V190)</f>
        <v>0</v>
      </c>
      <c r="X190" s="27" t="n">
        <f aca="false">MAX(0,IF(N(W189)&lt;=0.005,T190,T190+N('Min gæld'!$E$9)-V190))</f>
        <v>4800</v>
      </c>
      <c r="Y190" s="27" t="n">
        <f aca="false">IF(N(AA189)&lt;=0.005,0,N(AA189)*(1+N('Min gæld'!$D$10)/12))</f>
        <v>0</v>
      </c>
      <c r="Z190" s="27" t="n">
        <f aca="false">IF(Y190&lt;=0,0,MIN(Y190,N('Min gæld'!$E$10)+X190))</f>
        <v>0</v>
      </c>
      <c r="AA190" s="27" t="n">
        <f aca="false">IF(Y190-Z190&lt;0.005,0,Y190-Z190)</f>
        <v>0</v>
      </c>
      <c r="AB190" s="27" t="n">
        <f aca="false">MAX(0,IF(N(AA189)&lt;=0.005,X190,X190+N('Min gæld'!$E$10)-Z190))</f>
        <v>4800</v>
      </c>
      <c r="AC190" s="27" t="n">
        <f aca="false">IF(N(AE189)&lt;=0.005,0,N(AE189)*(1+N('Min gæld'!$D$11)/12))</f>
        <v>0</v>
      </c>
      <c r="AD190" s="27" t="n">
        <f aca="false">IF(AC190&lt;=0,0,MIN(AC190,N('Min gæld'!$E$11)+AB190))</f>
        <v>0</v>
      </c>
      <c r="AE190" s="27" t="n">
        <f aca="false">IF(AC190-AD190&lt;0.005,0,AC190-AD190)</f>
        <v>0</v>
      </c>
      <c r="AF190" s="27" t="n">
        <f aca="false">MAX(0,IF(N(AE189)&lt;=0.005,AB190,AB190+N('Min gæld'!$E$11)-AD190))</f>
        <v>4800</v>
      </c>
      <c r="AG190" s="27" t="n">
        <f aca="false">IF(N(AI189)&lt;=0.005,0,N(AI189)*(1+N('Min gæld'!$D$12)/12))</f>
        <v>0</v>
      </c>
      <c r="AH190" s="27" t="n">
        <f aca="false">IF(AG190&lt;=0,0,MIN(AG190,N('Min gæld'!$E$12)+AF190))</f>
        <v>0</v>
      </c>
      <c r="AI190" s="27" t="n">
        <f aca="false">IF(AG190-AH190&lt;0.005,0,AG190-AH190)</f>
        <v>0</v>
      </c>
      <c r="AJ190" s="27" t="n">
        <f aca="false">G190+K190+O190+S190+W190+AA190+AE190+AI190</f>
        <v>0</v>
      </c>
      <c r="AK190" s="28" t="n">
        <f aca="false">IF(E190&gt;0,E190-N(G189),0)+IF(I190&gt;0,I190-N(K189),0)+IF(M190&gt;0,M190-N(O189),0)+IF(Q190&gt;0,Q190-N(S189),0)+IF(U190&gt;0,U190-N(W189),0)+IF(Y190&gt;0,Y190-N(AA189),0)+IF(AC190&gt;0,AC190-N(AE189),0)+IF(AG190&gt;0,AG190-N(AI189),0)</f>
        <v>0</v>
      </c>
    </row>
    <row r="191" customFormat="false" ht="15" hidden="false" customHeight="false" outlineLevel="0" collapsed="false">
      <c r="A191" s="25" t="n">
        <v>186</v>
      </c>
      <c r="B191" s="26" t="n">
        <f aca="false">EDATE('Min gæld'!$C$16,185)</f>
        <v>52018</v>
      </c>
      <c r="C191" s="27" t="n">
        <f aca="false">N('Min gæld'!$C$15)+IF(N(G190)&lt;=0.005,N('Min gæld'!$E$5),0)+IF(N(K190)&lt;=0.005,N('Min gæld'!$E$6),0)+IF(N(O190)&lt;=0.005,N('Min gæld'!$E$7),0)+IF(N(S190)&lt;=0.005,N('Min gæld'!$E$8),0)+IF(N(W190)&lt;=0.005,N('Min gæld'!$E$9),0)+IF(N(AA190)&lt;=0.005,N('Min gæld'!$E$10),0)+IF(N(AE190)&lt;=0.005,N('Min gæld'!$E$11),0)+IF(N(AI190)&lt;=0.005,N('Min gæld'!$E$12),0)</f>
        <v>4800</v>
      </c>
      <c r="D191" s="27" t="n">
        <f aca="false">MAX(0,C191)</f>
        <v>4800</v>
      </c>
      <c r="E191" s="27" t="n">
        <f aca="false">IF(N(G190)&lt;=0.005,0,N(G190)*(1+N('Min gæld'!$D$5)/12))</f>
        <v>0</v>
      </c>
      <c r="F191" s="27" t="n">
        <f aca="false">IF(E191&lt;=0,0,MIN(E191,N('Min gæld'!$E$5)+D191))</f>
        <v>0</v>
      </c>
      <c r="G191" s="27" t="n">
        <f aca="false">IF(E191-F191&lt;0.005,0,E191-F191)</f>
        <v>0</v>
      </c>
      <c r="H191" s="27" t="n">
        <f aca="false">MAX(0,IF(N(G190)&lt;=0.005,D191,D191+N('Min gæld'!$E$5)-F191))</f>
        <v>4800</v>
      </c>
      <c r="I191" s="27" t="n">
        <f aca="false">IF(N(K190)&lt;=0.005,0,N(K190)*(1+N('Min gæld'!$D$6)/12))</f>
        <v>0</v>
      </c>
      <c r="J191" s="27" t="n">
        <f aca="false">IF(I191&lt;=0,0,MIN(I191,N('Min gæld'!$E$6)+H191))</f>
        <v>0</v>
      </c>
      <c r="K191" s="27" t="n">
        <f aca="false">IF(I191-J191&lt;0.005,0,I191-J191)</f>
        <v>0</v>
      </c>
      <c r="L191" s="27" t="n">
        <f aca="false">MAX(0,IF(N(K190)&lt;=0.005,H191,H191+N('Min gæld'!$E$6)-J191))</f>
        <v>4800</v>
      </c>
      <c r="M191" s="27" t="n">
        <f aca="false">IF(N(O190)&lt;=0.005,0,N(O190)*(1+N('Min gæld'!$D$7)/12))</f>
        <v>0</v>
      </c>
      <c r="N191" s="27" t="n">
        <f aca="false">IF(M191&lt;=0,0,MIN(M191,N('Min gæld'!$E$7)+L191))</f>
        <v>0</v>
      </c>
      <c r="O191" s="27" t="n">
        <f aca="false">IF(M191-N191&lt;0.005,0,M191-N191)</f>
        <v>0</v>
      </c>
      <c r="P191" s="27" t="n">
        <f aca="false">MAX(0,IF(N(O190)&lt;=0.005,L191,L191+N('Min gæld'!$E$7)-N191))</f>
        <v>4800</v>
      </c>
      <c r="Q191" s="27" t="n">
        <f aca="false">IF(N(S190)&lt;=0.005,0,N(S190)*(1+N('Min gæld'!$D$8)/12))</f>
        <v>0</v>
      </c>
      <c r="R191" s="27" t="n">
        <f aca="false">IF(Q191&lt;=0,0,MIN(Q191,N('Min gæld'!$E$8)+P191))</f>
        <v>0</v>
      </c>
      <c r="S191" s="27" t="n">
        <f aca="false">IF(Q191-R191&lt;0.005,0,Q191-R191)</f>
        <v>0</v>
      </c>
      <c r="T191" s="27" t="n">
        <f aca="false">MAX(0,IF(N(S190)&lt;=0.005,P191,P191+N('Min gæld'!$E$8)-R191))</f>
        <v>4800</v>
      </c>
      <c r="U191" s="27" t="n">
        <f aca="false">IF(N(W190)&lt;=0.005,0,N(W190)*(1+N('Min gæld'!$D$9)/12))</f>
        <v>0</v>
      </c>
      <c r="V191" s="27" t="n">
        <f aca="false">IF(U191&lt;=0,0,MIN(U191,N('Min gæld'!$E$9)+T191))</f>
        <v>0</v>
      </c>
      <c r="W191" s="27" t="n">
        <f aca="false">IF(U191-V191&lt;0.005,0,U191-V191)</f>
        <v>0</v>
      </c>
      <c r="X191" s="27" t="n">
        <f aca="false">MAX(0,IF(N(W190)&lt;=0.005,T191,T191+N('Min gæld'!$E$9)-V191))</f>
        <v>4800</v>
      </c>
      <c r="Y191" s="27" t="n">
        <f aca="false">IF(N(AA190)&lt;=0.005,0,N(AA190)*(1+N('Min gæld'!$D$10)/12))</f>
        <v>0</v>
      </c>
      <c r="Z191" s="27" t="n">
        <f aca="false">IF(Y191&lt;=0,0,MIN(Y191,N('Min gæld'!$E$10)+X191))</f>
        <v>0</v>
      </c>
      <c r="AA191" s="27" t="n">
        <f aca="false">IF(Y191-Z191&lt;0.005,0,Y191-Z191)</f>
        <v>0</v>
      </c>
      <c r="AB191" s="27" t="n">
        <f aca="false">MAX(0,IF(N(AA190)&lt;=0.005,X191,X191+N('Min gæld'!$E$10)-Z191))</f>
        <v>4800</v>
      </c>
      <c r="AC191" s="27" t="n">
        <f aca="false">IF(N(AE190)&lt;=0.005,0,N(AE190)*(1+N('Min gæld'!$D$11)/12))</f>
        <v>0</v>
      </c>
      <c r="AD191" s="27" t="n">
        <f aca="false">IF(AC191&lt;=0,0,MIN(AC191,N('Min gæld'!$E$11)+AB191))</f>
        <v>0</v>
      </c>
      <c r="AE191" s="27" t="n">
        <f aca="false">IF(AC191-AD191&lt;0.005,0,AC191-AD191)</f>
        <v>0</v>
      </c>
      <c r="AF191" s="27" t="n">
        <f aca="false">MAX(0,IF(N(AE190)&lt;=0.005,AB191,AB191+N('Min gæld'!$E$11)-AD191))</f>
        <v>4800</v>
      </c>
      <c r="AG191" s="27" t="n">
        <f aca="false">IF(N(AI190)&lt;=0.005,0,N(AI190)*(1+N('Min gæld'!$D$12)/12))</f>
        <v>0</v>
      </c>
      <c r="AH191" s="27" t="n">
        <f aca="false">IF(AG191&lt;=0,0,MIN(AG191,N('Min gæld'!$E$12)+AF191))</f>
        <v>0</v>
      </c>
      <c r="AI191" s="27" t="n">
        <f aca="false">IF(AG191-AH191&lt;0.005,0,AG191-AH191)</f>
        <v>0</v>
      </c>
      <c r="AJ191" s="27" t="n">
        <f aca="false">G191+K191+O191+S191+W191+AA191+AE191+AI191</f>
        <v>0</v>
      </c>
      <c r="AK191" s="28" t="n">
        <f aca="false">IF(E191&gt;0,E191-N(G190),0)+IF(I191&gt;0,I191-N(K190),0)+IF(M191&gt;0,M191-N(O190),0)+IF(Q191&gt;0,Q191-N(S190),0)+IF(U191&gt;0,U191-N(W190),0)+IF(Y191&gt;0,Y191-N(AA190),0)+IF(AC191&gt;0,AC191-N(AE190),0)+IF(AG191&gt;0,AG191-N(AI190),0)</f>
        <v>0</v>
      </c>
    </row>
    <row r="192" customFormat="false" ht="15" hidden="false" customHeight="false" outlineLevel="0" collapsed="false">
      <c r="A192" s="25" t="n">
        <v>187</v>
      </c>
      <c r="B192" s="26" t="n">
        <f aca="false">EDATE('Min gæld'!$C$16,186)</f>
        <v>52048</v>
      </c>
      <c r="C192" s="27" t="n">
        <f aca="false">N('Min gæld'!$C$15)+IF(N(G191)&lt;=0.005,N('Min gæld'!$E$5),0)+IF(N(K191)&lt;=0.005,N('Min gæld'!$E$6),0)+IF(N(O191)&lt;=0.005,N('Min gæld'!$E$7),0)+IF(N(S191)&lt;=0.005,N('Min gæld'!$E$8),0)+IF(N(W191)&lt;=0.005,N('Min gæld'!$E$9),0)+IF(N(AA191)&lt;=0.005,N('Min gæld'!$E$10),0)+IF(N(AE191)&lt;=0.005,N('Min gæld'!$E$11),0)+IF(N(AI191)&lt;=0.005,N('Min gæld'!$E$12),0)</f>
        <v>4800</v>
      </c>
      <c r="D192" s="27" t="n">
        <f aca="false">MAX(0,C192)</f>
        <v>4800</v>
      </c>
      <c r="E192" s="27" t="n">
        <f aca="false">IF(N(G191)&lt;=0.005,0,N(G191)*(1+N('Min gæld'!$D$5)/12))</f>
        <v>0</v>
      </c>
      <c r="F192" s="27" t="n">
        <f aca="false">IF(E192&lt;=0,0,MIN(E192,N('Min gæld'!$E$5)+D192))</f>
        <v>0</v>
      </c>
      <c r="G192" s="27" t="n">
        <f aca="false">IF(E192-F192&lt;0.005,0,E192-F192)</f>
        <v>0</v>
      </c>
      <c r="H192" s="27" t="n">
        <f aca="false">MAX(0,IF(N(G191)&lt;=0.005,D192,D192+N('Min gæld'!$E$5)-F192))</f>
        <v>4800</v>
      </c>
      <c r="I192" s="27" t="n">
        <f aca="false">IF(N(K191)&lt;=0.005,0,N(K191)*(1+N('Min gæld'!$D$6)/12))</f>
        <v>0</v>
      </c>
      <c r="J192" s="27" t="n">
        <f aca="false">IF(I192&lt;=0,0,MIN(I192,N('Min gæld'!$E$6)+H192))</f>
        <v>0</v>
      </c>
      <c r="K192" s="27" t="n">
        <f aca="false">IF(I192-J192&lt;0.005,0,I192-J192)</f>
        <v>0</v>
      </c>
      <c r="L192" s="27" t="n">
        <f aca="false">MAX(0,IF(N(K191)&lt;=0.005,H192,H192+N('Min gæld'!$E$6)-J192))</f>
        <v>4800</v>
      </c>
      <c r="M192" s="27" t="n">
        <f aca="false">IF(N(O191)&lt;=0.005,0,N(O191)*(1+N('Min gæld'!$D$7)/12))</f>
        <v>0</v>
      </c>
      <c r="N192" s="27" t="n">
        <f aca="false">IF(M192&lt;=0,0,MIN(M192,N('Min gæld'!$E$7)+L192))</f>
        <v>0</v>
      </c>
      <c r="O192" s="27" t="n">
        <f aca="false">IF(M192-N192&lt;0.005,0,M192-N192)</f>
        <v>0</v>
      </c>
      <c r="P192" s="27" t="n">
        <f aca="false">MAX(0,IF(N(O191)&lt;=0.005,L192,L192+N('Min gæld'!$E$7)-N192))</f>
        <v>4800</v>
      </c>
      <c r="Q192" s="27" t="n">
        <f aca="false">IF(N(S191)&lt;=0.005,0,N(S191)*(1+N('Min gæld'!$D$8)/12))</f>
        <v>0</v>
      </c>
      <c r="R192" s="27" t="n">
        <f aca="false">IF(Q192&lt;=0,0,MIN(Q192,N('Min gæld'!$E$8)+P192))</f>
        <v>0</v>
      </c>
      <c r="S192" s="27" t="n">
        <f aca="false">IF(Q192-R192&lt;0.005,0,Q192-R192)</f>
        <v>0</v>
      </c>
      <c r="T192" s="27" t="n">
        <f aca="false">MAX(0,IF(N(S191)&lt;=0.005,P192,P192+N('Min gæld'!$E$8)-R192))</f>
        <v>4800</v>
      </c>
      <c r="U192" s="27" t="n">
        <f aca="false">IF(N(W191)&lt;=0.005,0,N(W191)*(1+N('Min gæld'!$D$9)/12))</f>
        <v>0</v>
      </c>
      <c r="V192" s="27" t="n">
        <f aca="false">IF(U192&lt;=0,0,MIN(U192,N('Min gæld'!$E$9)+T192))</f>
        <v>0</v>
      </c>
      <c r="W192" s="27" t="n">
        <f aca="false">IF(U192-V192&lt;0.005,0,U192-V192)</f>
        <v>0</v>
      </c>
      <c r="X192" s="27" t="n">
        <f aca="false">MAX(0,IF(N(W191)&lt;=0.005,T192,T192+N('Min gæld'!$E$9)-V192))</f>
        <v>4800</v>
      </c>
      <c r="Y192" s="27" t="n">
        <f aca="false">IF(N(AA191)&lt;=0.005,0,N(AA191)*(1+N('Min gæld'!$D$10)/12))</f>
        <v>0</v>
      </c>
      <c r="Z192" s="27" t="n">
        <f aca="false">IF(Y192&lt;=0,0,MIN(Y192,N('Min gæld'!$E$10)+X192))</f>
        <v>0</v>
      </c>
      <c r="AA192" s="27" t="n">
        <f aca="false">IF(Y192-Z192&lt;0.005,0,Y192-Z192)</f>
        <v>0</v>
      </c>
      <c r="AB192" s="27" t="n">
        <f aca="false">MAX(0,IF(N(AA191)&lt;=0.005,X192,X192+N('Min gæld'!$E$10)-Z192))</f>
        <v>4800</v>
      </c>
      <c r="AC192" s="27" t="n">
        <f aca="false">IF(N(AE191)&lt;=0.005,0,N(AE191)*(1+N('Min gæld'!$D$11)/12))</f>
        <v>0</v>
      </c>
      <c r="AD192" s="27" t="n">
        <f aca="false">IF(AC192&lt;=0,0,MIN(AC192,N('Min gæld'!$E$11)+AB192))</f>
        <v>0</v>
      </c>
      <c r="AE192" s="27" t="n">
        <f aca="false">IF(AC192-AD192&lt;0.005,0,AC192-AD192)</f>
        <v>0</v>
      </c>
      <c r="AF192" s="27" t="n">
        <f aca="false">MAX(0,IF(N(AE191)&lt;=0.005,AB192,AB192+N('Min gæld'!$E$11)-AD192))</f>
        <v>4800</v>
      </c>
      <c r="AG192" s="27" t="n">
        <f aca="false">IF(N(AI191)&lt;=0.005,0,N(AI191)*(1+N('Min gæld'!$D$12)/12))</f>
        <v>0</v>
      </c>
      <c r="AH192" s="27" t="n">
        <f aca="false">IF(AG192&lt;=0,0,MIN(AG192,N('Min gæld'!$E$12)+AF192))</f>
        <v>0</v>
      </c>
      <c r="AI192" s="27" t="n">
        <f aca="false">IF(AG192-AH192&lt;0.005,0,AG192-AH192)</f>
        <v>0</v>
      </c>
      <c r="AJ192" s="27" t="n">
        <f aca="false">G192+K192+O192+S192+W192+AA192+AE192+AI192</f>
        <v>0</v>
      </c>
      <c r="AK192" s="28" t="n">
        <f aca="false">IF(E192&gt;0,E192-N(G191),0)+IF(I192&gt;0,I192-N(K191),0)+IF(M192&gt;0,M192-N(O191),0)+IF(Q192&gt;0,Q192-N(S191),0)+IF(U192&gt;0,U192-N(W191),0)+IF(Y192&gt;0,Y192-N(AA191),0)+IF(AC192&gt;0,AC192-N(AE191),0)+IF(AG192&gt;0,AG192-N(AI191),0)</f>
        <v>0</v>
      </c>
    </row>
    <row r="193" customFormat="false" ht="15" hidden="false" customHeight="false" outlineLevel="0" collapsed="false">
      <c r="A193" s="25" t="n">
        <v>188</v>
      </c>
      <c r="B193" s="26" t="n">
        <f aca="false">EDATE('Min gæld'!$C$16,187)</f>
        <v>52079</v>
      </c>
      <c r="C193" s="27" t="n">
        <f aca="false">N('Min gæld'!$C$15)+IF(N(G192)&lt;=0.005,N('Min gæld'!$E$5),0)+IF(N(K192)&lt;=0.005,N('Min gæld'!$E$6),0)+IF(N(O192)&lt;=0.005,N('Min gæld'!$E$7),0)+IF(N(S192)&lt;=0.005,N('Min gæld'!$E$8),0)+IF(N(W192)&lt;=0.005,N('Min gæld'!$E$9),0)+IF(N(AA192)&lt;=0.005,N('Min gæld'!$E$10),0)+IF(N(AE192)&lt;=0.005,N('Min gæld'!$E$11),0)+IF(N(AI192)&lt;=0.005,N('Min gæld'!$E$12),0)</f>
        <v>4800</v>
      </c>
      <c r="D193" s="27" t="n">
        <f aca="false">MAX(0,C193)</f>
        <v>4800</v>
      </c>
      <c r="E193" s="27" t="n">
        <f aca="false">IF(N(G192)&lt;=0.005,0,N(G192)*(1+N('Min gæld'!$D$5)/12))</f>
        <v>0</v>
      </c>
      <c r="F193" s="27" t="n">
        <f aca="false">IF(E193&lt;=0,0,MIN(E193,N('Min gæld'!$E$5)+D193))</f>
        <v>0</v>
      </c>
      <c r="G193" s="27" t="n">
        <f aca="false">IF(E193-F193&lt;0.005,0,E193-F193)</f>
        <v>0</v>
      </c>
      <c r="H193" s="27" t="n">
        <f aca="false">MAX(0,IF(N(G192)&lt;=0.005,D193,D193+N('Min gæld'!$E$5)-F193))</f>
        <v>4800</v>
      </c>
      <c r="I193" s="27" t="n">
        <f aca="false">IF(N(K192)&lt;=0.005,0,N(K192)*(1+N('Min gæld'!$D$6)/12))</f>
        <v>0</v>
      </c>
      <c r="J193" s="27" t="n">
        <f aca="false">IF(I193&lt;=0,0,MIN(I193,N('Min gæld'!$E$6)+H193))</f>
        <v>0</v>
      </c>
      <c r="K193" s="27" t="n">
        <f aca="false">IF(I193-J193&lt;0.005,0,I193-J193)</f>
        <v>0</v>
      </c>
      <c r="L193" s="27" t="n">
        <f aca="false">MAX(0,IF(N(K192)&lt;=0.005,H193,H193+N('Min gæld'!$E$6)-J193))</f>
        <v>4800</v>
      </c>
      <c r="M193" s="27" t="n">
        <f aca="false">IF(N(O192)&lt;=0.005,0,N(O192)*(1+N('Min gæld'!$D$7)/12))</f>
        <v>0</v>
      </c>
      <c r="N193" s="27" t="n">
        <f aca="false">IF(M193&lt;=0,0,MIN(M193,N('Min gæld'!$E$7)+L193))</f>
        <v>0</v>
      </c>
      <c r="O193" s="27" t="n">
        <f aca="false">IF(M193-N193&lt;0.005,0,M193-N193)</f>
        <v>0</v>
      </c>
      <c r="P193" s="27" t="n">
        <f aca="false">MAX(0,IF(N(O192)&lt;=0.005,L193,L193+N('Min gæld'!$E$7)-N193))</f>
        <v>4800</v>
      </c>
      <c r="Q193" s="27" t="n">
        <f aca="false">IF(N(S192)&lt;=0.005,0,N(S192)*(1+N('Min gæld'!$D$8)/12))</f>
        <v>0</v>
      </c>
      <c r="R193" s="27" t="n">
        <f aca="false">IF(Q193&lt;=0,0,MIN(Q193,N('Min gæld'!$E$8)+P193))</f>
        <v>0</v>
      </c>
      <c r="S193" s="27" t="n">
        <f aca="false">IF(Q193-R193&lt;0.005,0,Q193-R193)</f>
        <v>0</v>
      </c>
      <c r="T193" s="27" t="n">
        <f aca="false">MAX(0,IF(N(S192)&lt;=0.005,P193,P193+N('Min gæld'!$E$8)-R193))</f>
        <v>4800</v>
      </c>
      <c r="U193" s="27" t="n">
        <f aca="false">IF(N(W192)&lt;=0.005,0,N(W192)*(1+N('Min gæld'!$D$9)/12))</f>
        <v>0</v>
      </c>
      <c r="V193" s="27" t="n">
        <f aca="false">IF(U193&lt;=0,0,MIN(U193,N('Min gæld'!$E$9)+T193))</f>
        <v>0</v>
      </c>
      <c r="W193" s="27" t="n">
        <f aca="false">IF(U193-V193&lt;0.005,0,U193-V193)</f>
        <v>0</v>
      </c>
      <c r="X193" s="27" t="n">
        <f aca="false">MAX(0,IF(N(W192)&lt;=0.005,T193,T193+N('Min gæld'!$E$9)-V193))</f>
        <v>4800</v>
      </c>
      <c r="Y193" s="27" t="n">
        <f aca="false">IF(N(AA192)&lt;=0.005,0,N(AA192)*(1+N('Min gæld'!$D$10)/12))</f>
        <v>0</v>
      </c>
      <c r="Z193" s="27" t="n">
        <f aca="false">IF(Y193&lt;=0,0,MIN(Y193,N('Min gæld'!$E$10)+X193))</f>
        <v>0</v>
      </c>
      <c r="AA193" s="27" t="n">
        <f aca="false">IF(Y193-Z193&lt;0.005,0,Y193-Z193)</f>
        <v>0</v>
      </c>
      <c r="AB193" s="27" t="n">
        <f aca="false">MAX(0,IF(N(AA192)&lt;=0.005,X193,X193+N('Min gæld'!$E$10)-Z193))</f>
        <v>4800</v>
      </c>
      <c r="AC193" s="27" t="n">
        <f aca="false">IF(N(AE192)&lt;=0.005,0,N(AE192)*(1+N('Min gæld'!$D$11)/12))</f>
        <v>0</v>
      </c>
      <c r="AD193" s="27" t="n">
        <f aca="false">IF(AC193&lt;=0,0,MIN(AC193,N('Min gæld'!$E$11)+AB193))</f>
        <v>0</v>
      </c>
      <c r="AE193" s="27" t="n">
        <f aca="false">IF(AC193-AD193&lt;0.005,0,AC193-AD193)</f>
        <v>0</v>
      </c>
      <c r="AF193" s="27" t="n">
        <f aca="false">MAX(0,IF(N(AE192)&lt;=0.005,AB193,AB193+N('Min gæld'!$E$11)-AD193))</f>
        <v>4800</v>
      </c>
      <c r="AG193" s="27" t="n">
        <f aca="false">IF(N(AI192)&lt;=0.005,0,N(AI192)*(1+N('Min gæld'!$D$12)/12))</f>
        <v>0</v>
      </c>
      <c r="AH193" s="27" t="n">
        <f aca="false">IF(AG193&lt;=0,0,MIN(AG193,N('Min gæld'!$E$12)+AF193))</f>
        <v>0</v>
      </c>
      <c r="AI193" s="27" t="n">
        <f aca="false">IF(AG193-AH193&lt;0.005,0,AG193-AH193)</f>
        <v>0</v>
      </c>
      <c r="AJ193" s="27" t="n">
        <f aca="false">G193+K193+O193+S193+W193+AA193+AE193+AI193</f>
        <v>0</v>
      </c>
      <c r="AK193" s="28" t="n">
        <f aca="false">IF(E193&gt;0,E193-N(G192),0)+IF(I193&gt;0,I193-N(K192),0)+IF(M193&gt;0,M193-N(O192),0)+IF(Q193&gt;0,Q193-N(S192),0)+IF(U193&gt;0,U193-N(W192),0)+IF(Y193&gt;0,Y193-N(AA192),0)+IF(AC193&gt;0,AC193-N(AE192),0)+IF(AG193&gt;0,AG193-N(AI192),0)</f>
        <v>0</v>
      </c>
    </row>
    <row r="194" customFormat="false" ht="15" hidden="false" customHeight="false" outlineLevel="0" collapsed="false">
      <c r="A194" s="25" t="n">
        <v>189</v>
      </c>
      <c r="B194" s="26" t="n">
        <f aca="false">EDATE('Min gæld'!$C$16,188)</f>
        <v>52110</v>
      </c>
      <c r="C194" s="27" t="n">
        <f aca="false">N('Min gæld'!$C$15)+IF(N(G193)&lt;=0.005,N('Min gæld'!$E$5),0)+IF(N(K193)&lt;=0.005,N('Min gæld'!$E$6),0)+IF(N(O193)&lt;=0.005,N('Min gæld'!$E$7),0)+IF(N(S193)&lt;=0.005,N('Min gæld'!$E$8),0)+IF(N(W193)&lt;=0.005,N('Min gæld'!$E$9),0)+IF(N(AA193)&lt;=0.005,N('Min gæld'!$E$10),0)+IF(N(AE193)&lt;=0.005,N('Min gæld'!$E$11),0)+IF(N(AI193)&lt;=0.005,N('Min gæld'!$E$12),0)</f>
        <v>4800</v>
      </c>
      <c r="D194" s="27" t="n">
        <f aca="false">MAX(0,C194)</f>
        <v>4800</v>
      </c>
      <c r="E194" s="27" t="n">
        <f aca="false">IF(N(G193)&lt;=0.005,0,N(G193)*(1+N('Min gæld'!$D$5)/12))</f>
        <v>0</v>
      </c>
      <c r="F194" s="27" t="n">
        <f aca="false">IF(E194&lt;=0,0,MIN(E194,N('Min gæld'!$E$5)+D194))</f>
        <v>0</v>
      </c>
      <c r="G194" s="27" t="n">
        <f aca="false">IF(E194-F194&lt;0.005,0,E194-F194)</f>
        <v>0</v>
      </c>
      <c r="H194" s="27" t="n">
        <f aca="false">MAX(0,IF(N(G193)&lt;=0.005,D194,D194+N('Min gæld'!$E$5)-F194))</f>
        <v>4800</v>
      </c>
      <c r="I194" s="27" t="n">
        <f aca="false">IF(N(K193)&lt;=0.005,0,N(K193)*(1+N('Min gæld'!$D$6)/12))</f>
        <v>0</v>
      </c>
      <c r="J194" s="27" t="n">
        <f aca="false">IF(I194&lt;=0,0,MIN(I194,N('Min gæld'!$E$6)+H194))</f>
        <v>0</v>
      </c>
      <c r="K194" s="27" t="n">
        <f aca="false">IF(I194-J194&lt;0.005,0,I194-J194)</f>
        <v>0</v>
      </c>
      <c r="L194" s="27" t="n">
        <f aca="false">MAX(0,IF(N(K193)&lt;=0.005,H194,H194+N('Min gæld'!$E$6)-J194))</f>
        <v>4800</v>
      </c>
      <c r="M194" s="27" t="n">
        <f aca="false">IF(N(O193)&lt;=0.005,0,N(O193)*(1+N('Min gæld'!$D$7)/12))</f>
        <v>0</v>
      </c>
      <c r="N194" s="27" t="n">
        <f aca="false">IF(M194&lt;=0,0,MIN(M194,N('Min gæld'!$E$7)+L194))</f>
        <v>0</v>
      </c>
      <c r="O194" s="27" t="n">
        <f aca="false">IF(M194-N194&lt;0.005,0,M194-N194)</f>
        <v>0</v>
      </c>
      <c r="P194" s="27" t="n">
        <f aca="false">MAX(0,IF(N(O193)&lt;=0.005,L194,L194+N('Min gæld'!$E$7)-N194))</f>
        <v>4800</v>
      </c>
      <c r="Q194" s="27" t="n">
        <f aca="false">IF(N(S193)&lt;=0.005,0,N(S193)*(1+N('Min gæld'!$D$8)/12))</f>
        <v>0</v>
      </c>
      <c r="R194" s="27" t="n">
        <f aca="false">IF(Q194&lt;=0,0,MIN(Q194,N('Min gæld'!$E$8)+P194))</f>
        <v>0</v>
      </c>
      <c r="S194" s="27" t="n">
        <f aca="false">IF(Q194-R194&lt;0.005,0,Q194-R194)</f>
        <v>0</v>
      </c>
      <c r="T194" s="27" t="n">
        <f aca="false">MAX(0,IF(N(S193)&lt;=0.005,P194,P194+N('Min gæld'!$E$8)-R194))</f>
        <v>4800</v>
      </c>
      <c r="U194" s="27" t="n">
        <f aca="false">IF(N(W193)&lt;=0.005,0,N(W193)*(1+N('Min gæld'!$D$9)/12))</f>
        <v>0</v>
      </c>
      <c r="V194" s="27" t="n">
        <f aca="false">IF(U194&lt;=0,0,MIN(U194,N('Min gæld'!$E$9)+T194))</f>
        <v>0</v>
      </c>
      <c r="W194" s="27" t="n">
        <f aca="false">IF(U194-V194&lt;0.005,0,U194-V194)</f>
        <v>0</v>
      </c>
      <c r="X194" s="27" t="n">
        <f aca="false">MAX(0,IF(N(W193)&lt;=0.005,T194,T194+N('Min gæld'!$E$9)-V194))</f>
        <v>4800</v>
      </c>
      <c r="Y194" s="27" t="n">
        <f aca="false">IF(N(AA193)&lt;=0.005,0,N(AA193)*(1+N('Min gæld'!$D$10)/12))</f>
        <v>0</v>
      </c>
      <c r="Z194" s="27" t="n">
        <f aca="false">IF(Y194&lt;=0,0,MIN(Y194,N('Min gæld'!$E$10)+X194))</f>
        <v>0</v>
      </c>
      <c r="AA194" s="27" t="n">
        <f aca="false">IF(Y194-Z194&lt;0.005,0,Y194-Z194)</f>
        <v>0</v>
      </c>
      <c r="AB194" s="27" t="n">
        <f aca="false">MAX(0,IF(N(AA193)&lt;=0.005,X194,X194+N('Min gæld'!$E$10)-Z194))</f>
        <v>4800</v>
      </c>
      <c r="AC194" s="27" t="n">
        <f aca="false">IF(N(AE193)&lt;=0.005,0,N(AE193)*(1+N('Min gæld'!$D$11)/12))</f>
        <v>0</v>
      </c>
      <c r="AD194" s="27" t="n">
        <f aca="false">IF(AC194&lt;=0,0,MIN(AC194,N('Min gæld'!$E$11)+AB194))</f>
        <v>0</v>
      </c>
      <c r="AE194" s="27" t="n">
        <f aca="false">IF(AC194-AD194&lt;0.005,0,AC194-AD194)</f>
        <v>0</v>
      </c>
      <c r="AF194" s="27" t="n">
        <f aca="false">MAX(0,IF(N(AE193)&lt;=0.005,AB194,AB194+N('Min gæld'!$E$11)-AD194))</f>
        <v>4800</v>
      </c>
      <c r="AG194" s="27" t="n">
        <f aca="false">IF(N(AI193)&lt;=0.005,0,N(AI193)*(1+N('Min gæld'!$D$12)/12))</f>
        <v>0</v>
      </c>
      <c r="AH194" s="27" t="n">
        <f aca="false">IF(AG194&lt;=0,0,MIN(AG194,N('Min gæld'!$E$12)+AF194))</f>
        <v>0</v>
      </c>
      <c r="AI194" s="27" t="n">
        <f aca="false">IF(AG194-AH194&lt;0.005,0,AG194-AH194)</f>
        <v>0</v>
      </c>
      <c r="AJ194" s="27" t="n">
        <f aca="false">G194+K194+O194+S194+W194+AA194+AE194+AI194</f>
        <v>0</v>
      </c>
      <c r="AK194" s="28" t="n">
        <f aca="false">IF(E194&gt;0,E194-N(G193),0)+IF(I194&gt;0,I194-N(K193),0)+IF(M194&gt;0,M194-N(O193),0)+IF(Q194&gt;0,Q194-N(S193),0)+IF(U194&gt;0,U194-N(W193),0)+IF(Y194&gt;0,Y194-N(AA193),0)+IF(AC194&gt;0,AC194-N(AE193),0)+IF(AG194&gt;0,AG194-N(AI193),0)</f>
        <v>0</v>
      </c>
    </row>
    <row r="195" customFormat="false" ht="15" hidden="false" customHeight="false" outlineLevel="0" collapsed="false">
      <c r="A195" s="25" t="n">
        <v>190</v>
      </c>
      <c r="B195" s="26" t="n">
        <f aca="false">EDATE('Min gæld'!$C$16,189)</f>
        <v>52140</v>
      </c>
      <c r="C195" s="27" t="n">
        <f aca="false">N('Min gæld'!$C$15)+IF(N(G194)&lt;=0.005,N('Min gæld'!$E$5),0)+IF(N(K194)&lt;=0.005,N('Min gæld'!$E$6),0)+IF(N(O194)&lt;=0.005,N('Min gæld'!$E$7),0)+IF(N(S194)&lt;=0.005,N('Min gæld'!$E$8),0)+IF(N(W194)&lt;=0.005,N('Min gæld'!$E$9),0)+IF(N(AA194)&lt;=0.005,N('Min gæld'!$E$10),0)+IF(N(AE194)&lt;=0.005,N('Min gæld'!$E$11),0)+IF(N(AI194)&lt;=0.005,N('Min gæld'!$E$12),0)</f>
        <v>4800</v>
      </c>
      <c r="D195" s="27" t="n">
        <f aca="false">MAX(0,C195)</f>
        <v>4800</v>
      </c>
      <c r="E195" s="27" t="n">
        <f aca="false">IF(N(G194)&lt;=0.005,0,N(G194)*(1+N('Min gæld'!$D$5)/12))</f>
        <v>0</v>
      </c>
      <c r="F195" s="27" t="n">
        <f aca="false">IF(E195&lt;=0,0,MIN(E195,N('Min gæld'!$E$5)+D195))</f>
        <v>0</v>
      </c>
      <c r="G195" s="27" t="n">
        <f aca="false">IF(E195-F195&lt;0.005,0,E195-F195)</f>
        <v>0</v>
      </c>
      <c r="H195" s="27" t="n">
        <f aca="false">MAX(0,IF(N(G194)&lt;=0.005,D195,D195+N('Min gæld'!$E$5)-F195))</f>
        <v>4800</v>
      </c>
      <c r="I195" s="27" t="n">
        <f aca="false">IF(N(K194)&lt;=0.005,0,N(K194)*(1+N('Min gæld'!$D$6)/12))</f>
        <v>0</v>
      </c>
      <c r="J195" s="27" t="n">
        <f aca="false">IF(I195&lt;=0,0,MIN(I195,N('Min gæld'!$E$6)+H195))</f>
        <v>0</v>
      </c>
      <c r="K195" s="27" t="n">
        <f aca="false">IF(I195-J195&lt;0.005,0,I195-J195)</f>
        <v>0</v>
      </c>
      <c r="L195" s="27" t="n">
        <f aca="false">MAX(0,IF(N(K194)&lt;=0.005,H195,H195+N('Min gæld'!$E$6)-J195))</f>
        <v>4800</v>
      </c>
      <c r="M195" s="27" t="n">
        <f aca="false">IF(N(O194)&lt;=0.005,0,N(O194)*(1+N('Min gæld'!$D$7)/12))</f>
        <v>0</v>
      </c>
      <c r="N195" s="27" t="n">
        <f aca="false">IF(M195&lt;=0,0,MIN(M195,N('Min gæld'!$E$7)+L195))</f>
        <v>0</v>
      </c>
      <c r="O195" s="27" t="n">
        <f aca="false">IF(M195-N195&lt;0.005,0,M195-N195)</f>
        <v>0</v>
      </c>
      <c r="P195" s="27" t="n">
        <f aca="false">MAX(0,IF(N(O194)&lt;=0.005,L195,L195+N('Min gæld'!$E$7)-N195))</f>
        <v>4800</v>
      </c>
      <c r="Q195" s="27" t="n">
        <f aca="false">IF(N(S194)&lt;=0.005,0,N(S194)*(1+N('Min gæld'!$D$8)/12))</f>
        <v>0</v>
      </c>
      <c r="R195" s="27" t="n">
        <f aca="false">IF(Q195&lt;=0,0,MIN(Q195,N('Min gæld'!$E$8)+P195))</f>
        <v>0</v>
      </c>
      <c r="S195" s="27" t="n">
        <f aca="false">IF(Q195-R195&lt;0.005,0,Q195-R195)</f>
        <v>0</v>
      </c>
      <c r="T195" s="27" t="n">
        <f aca="false">MAX(0,IF(N(S194)&lt;=0.005,P195,P195+N('Min gæld'!$E$8)-R195))</f>
        <v>4800</v>
      </c>
      <c r="U195" s="27" t="n">
        <f aca="false">IF(N(W194)&lt;=0.005,0,N(W194)*(1+N('Min gæld'!$D$9)/12))</f>
        <v>0</v>
      </c>
      <c r="V195" s="27" t="n">
        <f aca="false">IF(U195&lt;=0,0,MIN(U195,N('Min gæld'!$E$9)+T195))</f>
        <v>0</v>
      </c>
      <c r="W195" s="27" t="n">
        <f aca="false">IF(U195-V195&lt;0.005,0,U195-V195)</f>
        <v>0</v>
      </c>
      <c r="X195" s="27" t="n">
        <f aca="false">MAX(0,IF(N(W194)&lt;=0.005,T195,T195+N('Min gæld'!$E$9)-V195))</f>
        <v>4800</v>
      </c>
      <c r="Y195" s="27" t="n">
        <f aca="false">IF(N(AA194)&lt;=0.005,0,N(AA194)*(1+N('Min gæld'!$D$10)/12))</f>
        <v>0</v>
      </c>
      <c r="Z195" s="27" t="n">
        <f aca="false">IF(Y195&lt;=0,0,MIN(Y195,N('Min gæld'!$E$10)+X195))</f>
        <v>0</v>
      </c>
      <c r="AA195" s="27" t="n">
        <f aca="false">IF(Y195-Z195&lt;0.005,0,Y195-Z195)</f>
        <v>0</v>
      </c>
      <c r="AB195" s="27" t="n">
        <f aca="false">MAX(0,IF(N(AA194)&lt;=0.005,X195,X195+N('Min gæld'!$E$10)-Z195))</f>
        <v>4800</v>
      </c>
      <c r="AC195" s="27" t="n">
        <f aca="false">IF(N(AE194)&lt;=0.005,0,N(AE194)*(1+N('Min gæld'!$D$11)/12))</f>
        <v>0</v>
      </c>
      <c r="AD195" s="27" t="n">
        <f aca="false">IF(AC195&lt;=0,0,MIN(AC195,N('Min gæld'!$E$11)+AB195))</f>
        <v>0</v>
      </c>
      <c r="AE195" s="27" t="n">
        <f aca="false">IF(AC195-AD195&lt;0.005,0,AC195-AD195)</f>
        <v>0</v>
      </c>
      <c r="AF195" s="27" t="n">
        <f aca="false">MAX(0,IF(N(AE194)&lt;=0.005,AB195,AB195+N('Min gæld'!$E$11)-AD195))</f>
        <v>4800</v>
      </c>
      <c r="AG195" s="27" t="n">
        <f aca="false">IF(N(AI194)&lt;=0.005,0,N(AI194)*(1+N('Min gæld'!$D$12)/12))</f>
        <v>0</v>
      </c>
      <c r="AH195" s="27" t="n">
        <f aca="false">IF(AG195&lt;=0,0,MIN(AG195,N('Min gæld'!$E$12)+AF195))</f>
        <v>0</v>
      </c>
      <c r="AI195" s="27" t="n">
        <f aca="false">IF(AG195-AH195&lt;0.005,0,AG195-AH195)</f>
        <v>0</v>
      </c>
      <c r="AJ195" s="27" t="n">
        <f aca="false">G195+K195+O195+S195+W195+AA195+AE195+AI195</f>
        <v>0</v>
      </c>
      <c r="AK195" s="28" t="n">
        <f aca="false">IF(E195&gt;0,E195-N(G194),0)+IF(I195&gt;0,I195-N(K194),0)+IF(M195&gt;0,M195-N(O194),0)+IF(Q195&gt;0,Q195-N(S194),0)+IF(U195&gt;0,U195-N(W194),0)+IF(Y195&gt;0,Y195-N(AA194),0)+IF(AC195&gt;0,AC195-N(AE194),0)+IF(AG195&gt;0,AG195-N(AI194),0)</f>
        <v>0</v>
      </c>
    </row>
    <row r="196" customFormat="false" ht="15" hidden="false" customHeight="false" outlineLevel="0" collapsed="false">
      <c r="A196" s="25" t="n">
        <v>191</v>
      </c>
      <c r="B196" s="26" t="n">
        <f aca="false">EDATE('Min gæld'!$C$16,190)</f>
        <v>52171</v>
      </c>
      <c r="C196" s="27" t="n">
        <f aca="false">N('Min gæld'!$C$15)+IF(N(G195)&lt;=0.005,N('Min gæld'!$E$5),0)+IF(N(K195)&lt;=0.005,N('Min gæld'!$E$6),0)+IF(N(O195)&lt;=0.005,N('Min gæld'!$E$7),0)+IF(N(S195)&lt;=0.005,N('Min gæld'!$E$8),0)+IF(N(W195)&lt;=0.005,N('Min gæld'!$E$9),0)+IF(N(AA195)&lt;=0.005,N('Min gæld'!$E$10),0)+IF(N(AE195)&lt;=0.005,N('Min gæld'!$E$11),0)+IF(N(AI195)&lt;=0.005,N('Min gæld'!$E$12),0)</f>
        <v>4800</v>
      </c>
      <c r="D196" s="27" t="n">
        <f aca="false">MAX(0,C196)</f>
        <v>4800</v>
      </c>
      <c r="E196" s="27" t="n">
        <f aca="false">IF(N(G195)&lt;=0.005,0,N(G195)*(1+N('Min gæld'!$D$5)/12))</f>
        <v>0</v>
      </c>
      <c r="F196" s="27" t="n">
        <f aca="false">IF(E196&lt;=0,0,MIN(E196,N('Min gæld'!$E$5)+D196))</f>
        <v>0</v>
      </c>
      <c r="G196" s="27" t="n">
        <f aca="false">IF(E196-F196&lt;0.005,0,E196-F196)</f>
        <v>0</v>
      </c>
      <c r="H196" s="27" t="n">
        <f aca="false">MAX(0,IF(N(G195)&lt;=0.005,D196,D196+N('Min gæld'!$E$5)-F196))</f>
        <v>4800</v>
      </c>
      <c r="I196" s="27" t="n">
        <f aca="false">IF(N(K195)&lt;=0.005,0,N(K195)*(1+N('Min gæld'!$D$6)/12))</f>
        <v>0</v>
      </c>
      <c r="J196" s="27" t="n">
        <f aca="false">IF(I196&lt;=0,0,MIN(I196,N('Min gæld'!$E$6)+H196))</f>
        <v>0</v>
      </c>
      <c r="K196" s="27" t="n">
        <f aca="false">IF(I196-J196&lt;0.005,0,I196-J196)</f>
        <v>0</v>
      </c>
      <c r="L196" s="27" t="n">
        <f aca="false">MAX(0,IF(N(K195)&lt;=0.005,H196,H196+N('Min gæld'!$E$6)-J196))</f>
        <v>4800</v>
      </c>
      <c r="M196" s="27" t="n">
        <f aca="false">IF(N(O195)&lt;=0.005,0,N(O195)*(1+N('Min gæld'!$D$7)/12))</f>
        <v>0</v>
      </c>
      <c r="N196" s="27" t="n">
        <f aca="false">IF(M196&lt;=0,0,MIN(M196,N('Min gæld'!$E$7)+L196))</f>
        <v>0</v>
      </c>
      <c r="O196" s="27" t="n">
        <f aca="false">IF(M196-N196&lt;0.005,0,M196-N196)</f>
        <v>0</v>
      </c>
      <c r="P196" s="27" t="n">
        <f aca="false">MAX(0,IF(N(O195)&lt;=0.005,L196,L196+N('Min gæld'!$E$7)-N196))</f>
        <v>4800</v>
      </c>
      <c r="Q196" s="27" t="n">
        <f aca="false">IF(N(S195)&lt;=0.005,0,N(S195)*(1+N('Min gæld'!$D$8)/12))</f>
        <v>0</v>
      </c>
      <c r="R196" s="27" t="n">
        <f aca="false">IF(Q196&lt;=0,0,MIN(Q196,N('Min gæld'!$E$8)+P196))</f>
        <v>0</v>
      </c>
      <c r="S196" s="27" t="n">
        <f aca="false">IF(Q196-R196&lt;0.005,0,Q196-R196)</f>
        <v>0</v>
      </c>
      <c r="T196" s="27" t="n">
        <f aca="false">MAX(0,IF(N(S195)&lt;=0.005,P196,P196+N('Min gæld'!$E$8)-R196))</f>
        <v>4800</v>
      </c>
      <c r="U196" s="27" t="n">
        <f aca="false">IF(N(W195)&lt;=0.005,0,N(W195)*(1+N('Min gæld'!$D$9)/12))</f>
        <v>0</v>
      </c>
      <c r="V196" s="27" t="n">
        <f aca="false">IF(U196&lt;=0,0,MIN(U196,N('Min gæld'!$E$9)+T196))</f>
        <v>0</v>
      </c>
      <c r="W196" s="27" t="n">
        <f aca="false">IF(U196-V196&lt;0.005,0,U196-V196)</f>
        <v>0</v>
      </c>
      <c r="X196" s="27" t="n">
        <f aca="false">MAX(0,IF(N(W195)&lt;=0.005,T196,T196+N('Min gæld'!$E$9)-V196))</f>
        <v>4800</v>
      </c>
      <c r="Y196" s="27" t="n">
        <f aca="false">IF(N(AA195)&lt;=0.005,0,N(AA195)*(1+N('Min gæld'!$D$10)/12))</f>
        <v>0</v>
      </c>
      <c r="Z196" s="27" t="n">
        <f aca="false">IF(Y196&lt;=0,0,MIN(Y196,N('Min gæld'!$E$10)+X196))</f>
        <v>0</v>
      </c>
      <c r="AA196" s="27" t="n">
        <f aca="false">IF(Y196-Z196&lt;0.005,0,Y196-Z196)</f>
        <v>0</v>
      </c>
      <c r="AB196" s="27" t="n">
        <f aca="false">MAX(0,IF(N(AA195)&lt;=0.005,X196,X196+N('Min gæld'!$E$10)-Z196))</f>
        <v>4800</v>
      </c>
      <c r="AC196" s="27" t="n">
        <f aca="false">IF(N(AE195)&lt;=0.005,0,N(AE195)*(1+N('Min gæld'!$D$11)/12))</f>
        <v>0</v>
      </c>
      <c r="AD196" s="27" t="n">
        <f aca="false">IF(AC196&lt;=0,0,MIN(AC196,N('Min gæld'!$E$11)+AB196))</f>
        <v>0</v>
      </c>
      <c r="AE196" s="27" t="n">
        <f aca="false">IF(AC196-AD196&lt;0.005,0,AC196-AD196)</f>
        <v>0</v>
      </c>
      <c r="AF196" s="27" t="n">
        <f aca="false">MAX(0,IF(N(AE195)&lt;=0.005,AB196,AB196+N('Min gæld'!$E$11)-AD196))</f>
        <v>4800</v>
      </c>
      <c r="AG196" s="27" t="n">
        <f aca="false">IF(N(AI195)&lt;=0.005,0,N(AI195)*(1+N('Min gæld'!$D$12)/12))</f>
        <v>0</v>
      </c>
      <c r="AH196" s="27" t="n">
        <f aca="false">IF(AG196&lt;=0,0,MIN(AG196,N('Min gæld'!$E$12)+AF196))</f>
        <v>0</v>
      </c>
      <c r="AI196" s="27" t="n">
        <f aca="false">IF(AG196-AH196&lt;0.005,0,AG196-AH196)</f>
        <v>0</v>
      </c>
      <c r="AJ196" s="27" t="n">
        <f aca="false">G196+K196+O196+S196+W196+AA196+AE196+AI196</f>
        <v>0</v>
      </c>
      <c r="AK196" s="28" t="n">
        <f aca="false">IF(E196&gt;0,E196-N(G195),0)+IF(I196&gt;0,I196-N(K195),0)+IF(M196&gt;0,M196-N(O195),0)+IF(Q196&gt;0,Q196-N(S195),0)+IF(U196&gt;0,U196-N(W195),0)+IF(Y196&gt;0,Y196-N(AA195),0)+IF(AC196&gt;0,AC196-N(AE195),0)+IF(AG196&gt;0,AG196-N(AI195),0)</f>
        <v>0</v>
      </c>
    </row>
    <row r="197" customFormat="false" ht="15" hidden="false" customHeight="false" outlineLevel="0" collapsed="false">
      <c r="A197" s="25" t="n">
        <v>192</v>
      </c>
      <c r="B197" s="26" t="n">
        <f aca="false">EDATE('Min gæld'!$C$16,191)</f>
        <v>52201</v>
      </c>
      <c r="C197" s="27" t="n">
        <f aca="false">N('Min gæld'!$C$15)+IF(N(G196)&lt;=0.005,N('Min gæld'!$E$5),0)+IF(N(K196)&lt;=0.005,N('Min gæld'!$E$6),0)+IF(N(O196)&lt;=0.005,N('Min gæld'!$E$7),0)+IF(N(S196)&lt;=0.005,N('Min gæld'!$E$8),0)+IF(N(W196)&lt;=0.005,N('Min gæld'!$E$9),0)+IF(N(AA196)&lt;=0.005,N('Min gæld'!$E$10),0)+IF(N(AE196)&lt;=0.005,N('Min gæld'!$E$11),0)+IF(N(AI196)&lt;=0.005,N('Min gæld'!$E$12),0)</f>
        <v>4800</v>
      </c>
      <c r="D197" s="27" t="n">
        <f aca="false">MAX(0,C197)</f>
        <v>4800</v>
      </c>
      <c r="E197" s="27" t="n">
        <f aca="false">IF(N(G196)&lt;=0.005,0,N(G196)*(1+N('Min gæld'!$D$5)/12))</f>
        <v>0</v>
      </c>
      <c r="F197" s="27" t="n">
        <f aca="false">IF(E197&lt;=0,0,MIN(E197,N('Min gæld'!$E$5)+D197))</f>
        <v>0</v>
      </c>
      <c r="G197" s="27" t="n">
        <f aca="false">IF(E197-F197&lt;0.005,0,E197-F197)</f>
        <v>0</v>
      </c>
      <c r="H197" s="27" t="n">
        <f aca="false">MAX(0,IF(N(G196)&lt;=0.005,D197,D197+N('Min gæld'!$E$5)-F197))</f>
        <v>4800</v>
      </c>
      <c r="I197" s="27" t="n">
        <f aca="false">IF(N(K196)&lt;=0.005,0,N(K196)*(1+N('Min gæld'!$D$6)/12))</f>
        <v>0</v>
      </c>
      <c r="J197" s="27" t="n">
        <f aca="false">IF(I197&lt;=0,0,MIN(I197,N('Min gæld'!$E$6)+H197))</f>
        <v>0</v>
      </c>
      <c r="K197" s="27" t="n">
        <f aca="false">IF(I197-J197&lt;0.005,0,I197-J197)</f>
        <v>0</v>
      </c>
      <c r="L197" s="27" t="n">
        <f aca="false">MAX(0,IF(N(K196)&lt;=0.005,H197,H197+N('Min gæld'!$E$6)-J197))</f>
        <v>4800</v>
      </c>
      <c r="M197" s="27" t="n">
        <f aca="false">IF(N(O196)&lt;=0.005,0,N(O196)*(1+N('Min gæld'!$D$7)/12))</f>
        <v>0</v>
      </c>
      <c r="N197" s="27" t="n">
        <f aca="false">IF(M197&lt;=0,0,MIN(M197,N('Min gæld'!$E$7)+L197))</f>
        <v>0</v>
      </c>
      <c r="O197" s="27" t="n">
        <f aca="false">IF(M197-N197&lt;0.005,0,M197-N197)</f>
        <v>0</v>
      </c>
      <c r="P197" s="27" t="n">
        <f aca="false">MAX(0,IF(N(O196)&lt;=0.005,L197,L197+N('Min gæld'!$E$7)-N197))</f>
        <v>4800</v>
      </c>
      <c r="Q197" s="27" t="n">
        <f aca="false">IF(N(S196)&lt;=0.005,0,N(S196)*(1+N('Min gæld'!$D$8)/12))</f>
        <v>0</v>
      </c>
      <c r="R197" s="27" t="n">
        <f aca="false">IF(Q197&lt;=0,0,MIN(Q197,N('Min gæld'!$E$8)+P197))</f>
        <v>0</v>
      </c>
      <c r="S197" s="27" t="n">
        <f aca="false">IF(Q197-R197&lt;0.005,0,Q197-R197)</f>
        <v>0</v>
      </c>
      <c r="T197" s="27" t="n">
        <f aca="false">MAX(0,IF(N(S196)&lt;=0.005,P197,P197+N('Min gæld'!$E$8)-R197))</f>
        <v>4800</v>
      </c>
      <c r="U197" s="27" t="n">
        <f aca="false">IF(N(W196)&lt;=0.005,0,N(W196)*(1+N('Min gæld'!$D$9)/12))</f>
        <v>0</v>
      </c>
      <c r="V197" s="27" t="n">
        <f aca="false">IF(U197&lt;=0,0,MIN(U197,N('Min gæld'!$E$9)+T197))</f>
        <v>0</v>
      </c>
      <c r="W197" s="27" t="n">
        <f aca="false">IF(U197-V197&lt;0.005,0,U197-V197)</f>
        <v>0</v>
      </c>
      <c r="X197" s="27" t="n">
        <f aca="false">MAX(0,IF(N(W196)&lt;=0.005,T197,T197+N('Min gæld'!$E$9)-V197))</f>
        <v>4800</v>
      </c>
      <c r="Y197" s="27" t="n">
        <f aca="false">IF(N(AA196)&lt;=0.005,0,N(AA196)*(1+N('Min gæld'!$D$10)/12))</f>
        <v>0</v>
      </c>
      <c r="Z197" s="27" t="n">
        <f aca="false">IF(Y197&lt;=0,0,MIN(Y197,N('Min gæld'!$E$10)+X197))</f>
        <v>0</v>
      </c>
      <c r="AA197" s="27" t="n">
        <f aca="false">IF(Y197-Z197&lt;0.005,0,Y197-Z197)</f>
        <v>0</v>
      </c>
      <c r="AB197" s="27" t="n">
        <f aca="false">MAX(0,IF(N(AA196)&lt;=0.005,X197,X197+N('Min gæld'!$E$10)-Z197))</f>
        <v>4800</v>
      </c>
      <c r="AC197" s="27" t="n">
        <f aca="false">IF(N(AE196)&lt;=0.005,0,N(AE196)*(1+N('Min gæld'!$D$11)/12))</f>
        <v>0</v>
      </c>
      <c r="AD197" s="27" t="n">
        <f aca="false">IF(AC197&lt;=0,0,MIN(AC197,N('Min gæld'!$E$11)+AB197))</f>
        <v>0</v>
      </c>
      <c r="AE197" s="27" t="n">
        <f aca="false">IF(AC197-AD197&lt;0.005,0,AC197-AD197)</f>
        <v>0</v>
      </c>
      <c r="AF197" s="27" t="n">
        <f aca="false">MAX(0,IF(N(AE196)&lt;=0.005,AB197,AB197+N('Min gæld'!$E$11)-AD197))</f>
        <v>4800</v>
      </c>
      <c r="AG197" s="27" t="n">
        <f aca="false">IF(N(AI196)&lt;=0.005,0,N(AI196)*(1+N('Min gæld'!$D$12)/12))</f>
        <v>0</v>
      </c>
      <c r="AH197" s="27" t="n">
        <f aca="false">IF(AG197&lt;=0,0,MIN(AG197,N('Min gæld'!$E$12)+AF197))</f>
        <v>0</v>
      </c>
      <c r="AI197" s="27" t="n">
        <f aca="false">IF(AG197-AH197&lt;0.005,0,AG197-AH197)</f>
        <v>0</v>
      </c>
      <c r="AJ197" s="27" t="n">
        <f aca="false">G197+K197+O197+S197+W197+AA197+AE197+AI197</f>
        <v>0</v>
      </c>
      <c r="AK197" s="28" t="n">
        <f aca="false">IF(E197&gt;0,E197-N(G196),0)+IF(I197&gt;0,I197-N(K196),0)+IF(M197&gt;0,M197-N(O196),0)+IF(Q197&gt;0,Q197-N(S196),0)+IF(U197&gt;0,U197-N(W196),0)+IF(Y197&gt;0,Y197-N(AA196),0)+IF(AC197&gt;0,AC197-N(AE196),0)+IF(AG197&gt;0,AG197-N(AI196),0)</f>
        <v>0</v>
      </c>
    </row>
    <row r="198" customFormat="false" ht="15" hidden="false" customHeight="false" outlineLevel="0" collapsed="false">
      <c r="A198" s="25" t="n">
        <v>193</v>
      </c>
      <c r="B198" s="26" t="n">
        <f aca="false">EDATE('Min gæld'!$C$16,192)</f>
        <v>52232</v>
      </c>
      <c r="C198" s="27" t="n">
        <f aca="false">N('Min gæld'!$C$15)+IF(N(G197)&lt;=0.005,N('Min gæld'!$E$5),0)+IF(N(K197)&lt;=0.005,N('Min gæld'!$E$6),0)+IF(N(O197)&lt;=0.005,N('Min gæld'!$E$7),0)+IF(N(S197)&lt;=0.005,N('Min gæld'!$E$8),0)+IF(N(W197)&lt;=0.005,N('Min gæld'!$E$9),0)+IF(N(AA197)&lt;=0.005,N('Min gæld'!$E$10),0)+IF(N(AE197)&lt;=0.005,N('Min gæld'!$E$11),0)+IF(N(AI197)&lt;=0.005,N('Min gæld'!$E$12),0)</f>
        <v>4800</v>
      </c>
      <c r="D198" s="27" t="n">
        <f aca="false">MAX(0,C198)</f>
        <v>4800</v>
      </c>
      <c r="E198" s="27" t="n">
        <f aca="false">IF(N(G197)&lt;=0.005,0,N(G197)*(1+N('Min gæld'!$D$5)/12))</f>
        <v>0</v>
      </c>
      <c r="F198" s="27" t="n">
        <f aca="false">IF(E198&lt;=0,0,MIN(E198,N('Min gæld'!$E$5)+D198))</f>
        <v>0</v>
      </c>
      <c r="G198" s="27" t="n">
        <f aca="false">IF(E198-F198&lt;0.005,0,E198-F198)</f>
        <v>0</v>
      </c>
      <c r="H198" s="27" t="n">
        <f aca="false">MAX(0,IF(N(G197)&lt;=0.005,D198,D198+N('Min gæld'!$E$5)-F198))</f>
        <v>4800</v>
      </c>
      <c r="I198" s="27" t="n">
        <f aca="false">IF(N(K197)&lt;=0.005,0,N(K197)*(1+N('Min gæld'!$D$6)/12))</f>
        <v>0</v>
      </c>
      <c r="J198" s="27" t="n">
        <f aca="false">IF(I198&lt;=0,0,MIN(I198,N('Min gæld'!$E$6)+H198))</f>
        <v>0</v>
      </c>
      <c r="K198" s="27" t="n">
        <f aca="false">IF(I198-J198&lt;0.005,0,I198-J198)</f>
        <v>0</v>
      </c>
      <c r="L198" s="27" t="n">
        <f aca="false">MAX(0,IF(N(K197)&lt;=0.005,H198,H198+N('Min gæld'!$E$6)-J198))</f>
        <v>4800</v>
      </c>
      <c r="M198" s="27" t="n">
        <f aca="false">IF(N(O197)&lt;=0.005,0,N(O197)*(1+N('Min gæld'!$D$7)/12))</f>
        <v>0</v>
      </c>
      <c r="N198" s="27" t="n">
        <f aca="false">IF(M198&lt;=0,0,MIN(M198,N('Min gæld'!$E$7)+L198))</f>
        <v>0</v>
      </c>
      <c r="O198" s="27" t="n">
        <f aca="false">IF(M198-N198&lt;0.005,0,M198-N198)</f>
        <v>0</v>
      </c>
      <c r="P198" s="27" t="n">
        <f aca="false">MAX(0,IF(N(O197)&lt;=0.005,L198,L198+N('Min gæld'!$E$7)-N198))</f>
        <v>4800</v>
      </c>
      <c r="Q198" s="27" t="n">
        <f aca="false">IF(N(S197)&lt;=0.005,0,N(S197)*(1+N('Min gæld'!$D$8)/12))</f>
        <v>0</v>
      </c>
      <c r="R198" s="27" t="n">
        <f aca="false">IF(Q198&lt;=0,0,MIN(Q198,N('Min gæld'!$E$8)+P198))</f>
        <v>0</v>
      </c>
      <c r="S198" s="27" t="n">
        <f aca="false">IF(Q198-R198&lt;0.005,0,Q198-R198)</f>
        <v>0</v>
      </c>
      <c r="T198" s="27" t="n">
        <f aca="false">MAX(0,IF(N(S197)&lt;=0.005,P198,P198+N('Min gæld'!$E$8)-R198))</f>
        <v>4800</v>
      </c>
      <c r="U198" s="27" t="n">
        <f aca="false">IF(N(W197)&lt;=0.005,0,N(W197)*(1+N('Min gæld'!$D$9)/12))</f>
        <v>0</v>
      </c>
      <c r="V198" s="27" t="n">
        <f aca="false">IF(U198&lt;=0,0,MIN(U198,N('Min gæld'!$E$9)+T198))</f>
        <v>0</v>
      </c>
      <c r="W198" s="27" t="n">
        <f aca="false">IF(U198-V198&lt;0.005,0,U198-V198)</f>
        <v>0</v>
      </c>
      <c r="X198" s="27" t="n">
        <f aca="false">MAX(0,IF(N(W197)&lt;=0.005,T198,T198+N('Min gæld'!$E$9)-V198))</f>
        <v>4800</v>
      </c>
      <c r="Y198" s="27" t="n">
        <f aca="false">IF(N(AA197)&lt;=0.005,0,N(AA197)*(1+N('Min gæld'!$D$10)/12))</f>
        <v>0</v>
      </c>
      <c r="Z198" s="27" t="n">
        <f aca="false">IF(Y198&lt;=0,0,MIN(Y198,N('Min gæld'!$E$10)+X198))</f>
        <v>0</v>
      </c>
      <c r="AA198" s="27" t="n">
        <f aca="false">IF(Y198-Z198&lt;0.005,0,Y198-Z198)</f>
        <v>0</v>
      </c>
      <c r="AB198" s="27" t="n">
        <f aca="false">MAX(0,IF(N(AA197)&lt;=0.005,X198,X198+N('Min gæld'!$E$10)-Z198))</f>
        <v>4800</v>
      </c>
      <c r="AC198" s="27" t="n">
        <f aca="false">IF(N(AE197)&lt;=0.005,0,N(AE197)*(1+N('Min gæld'!$D$11)/12))</f>
        <v>0</v>
      </c>
      <c r="AD198" s="27" t="n">
        <f aca="false">IF(AC198&lt;=0,0,MIN(AC198,N('Min gæld'!$E$11)+AB198))</f>
        <v>0</v>
      </c>
      <c r="AE198" s="27" t="n">
        <f aca="false">IF(AC198-AD198&lt;0.005,0,AC198-AD198)</f>
        <v>0</v>
      </c>
      <c r="AF198" s="27" t="n">
        <f aca="false">MAX(0,IF(N(AE197)&lt;=0.005,AB198,AB198+N('Min gæld'!$E$11)-AD198))</f>
        <v>4800</v>
      </c>
      <c r="AG198" s="27" t="n">
        <f aca="false">IF(N(AI197)&lt;=0.005,0,N(AI197)*(1+N('Min gæld'!$D$12)/12))</f>
        <v>0</v>
      </c>
      <c r="AH198" s="27" t="n">
        <f aca="false">IF(AG198&lt;=0,0,MIN(AG198,N('Min gæld'!$E$12)+AF198))</f>
        <v>0</v>
      </c>
      <c r="AI198" s="27" t="n">
        <f aca="false">IF(AG198-AH198&lt;0.005,0,AG198-AH198)</f>
        <v>0</v>
      </c>
      <c r="AJ198" s="27" t="n">
        <f aca="false">G198+K198+O198+S198+W198+AA198+AE198+AI198</f>
        <v>0</v>
      </c>
      <c r="AK198" s="28" t="n">
        <f aca="false">IF(E198&gt;0,E198-N(G197),0)+IF(I198&gt;0,I198-N(K197),0)+IF(M198&gt;0,M198-N(O197),0)+IF(Q198&gt;0,Q198-N(S197),0)+IF(U198&gt;0,U198-N(W197),0)+IF(Y198&gt;0,Y198-N(AA197),0)+IF(AC198&gt;0,AC198-N(AE197),0)+IF(AG198&gt;0,AG198-N(AI197),0)</f>
        <v>0</v>
      </c>
    </row>
    <row r="199" customFormat="false" ht="15" hidden="false" customHeight="false" outlineLevel="0" collapsed="false">
      <c r="A199" s="25" t="n">
        <v>194</v>
      </c>
      <c r="B199" s="26" t="n">
        <f aca="false">EDATE('Min gæld'!$C$16,193)</f>
        <v>52263</v>
      </c>
      <c r="C199" s="27" t="n">
        <f aca="false">N('Min gæld'!$C$15)+IF(N(G198)&lt;=0.005,N('Min gæld'!$E$5),0)+IF(N(K198)&lt;=0.005,N('Min gæld'!$E$6),0)+IF(N(O198)&lt;=0.005,N('Min gæld'!$E$7),0)+IF(N(S198)&lt;=0.005,N('Min gæld'!$E$8),0)+IF(N(W198)&lt;=0.005,N('Min gæld'!$E$9),0)+IF(N(AA198)&lt;=0.005,N('Min gæld'!$E$10),0)+IF(N(AE198)&lt;=0.005,N('Min gæld'!$E$11),0)+IF(N(AI198)&lt;=0.005,N('Min gæld'!$E$12),0)</f>
        <v>4800</v>
      </c>
      <c r="D199" s="27" t="n">
        <f aca="false">MAX(0,C199)</f>
        <v>4800</v>
      </c>
      <c r="E199" s="27" t="n">
        <f aca="false">IF(N(G198)&lt;=0.005,0,N(G198)*(1+N('Min gæld'!$D$5)/12))</f>
        <v>0</v>
      </c>
      <c r="F199" s="27" t="n">
        <f aca="false">IF(E199&lt;=0,0,MIN(E199,N('Min gæld'!$E$5)+D199))</f>
        <v>0</v>
      </c>
      <c r="G199" s="27" t="n">
        <f aca="false">IF(E199-F199&lt;0.005,0,E199-F199)</f>
        <v>0</v>
      </c>
      <c r="H199" s="27" t="n">
        <f aca="false">MAX(0,IF(N(G198)&lt;=0.005,D199,D199+N('Min gæld'!$E$5)-F199))</f>
        <v>4800</v>
      </c>
      <c r="I199" s="27" t="n">
        <f aca="false">IF(N(K198)&lt;=0.005,0,N(K198)*(1+N('Min gæld'!$D$6)/12))</f>
        <v>0</v>
      </c>
      <c r="J199" s="27" t="n">
        <f aca="false">IF(I199&lt;=0,0,MIN(I199,N('Min gæld'!$E$6)+H199))</f>
        <v>0</v>
      </c>
      <c r="K199" s="27" t="n">
        <f aca="false">IF(I199-J199&lt;0.005,0,I199-J199)</f>
        <v>0</v>
      </c>
      <c r="L199" s="27" t="n">
        <f aca="false">MAX(0,IF(N(K198)&lt;=0.005,H199,H199+N('Min gæld'!$E$6)-J199))</f>
        <v>4800</v>
      </c>
      <c r="M199" s="27" t="n">
        <f aca="false">IF(N(O198)&lt;=0.005,0,N(O198)*(1+N('Min gæld'!$D$7)/12))</f>
        <v>0</v>
      </c>
      <c r="N199" s="27" t="n">
        <f aca="false">IF(M199&lt;=0,0,MIN(M199,N('Min gæld'!$E$7)+L199))</f>
        <v>0</v>
      </c>
      <c r="O199" s="27" t="n">
        <f aca="false">IF(M199-N199&lt;0.005,0,M199-N199)</f>
        <v>0</v>
      </c>
      <c r="P199" s="27" t="n">
        <f aca="false">MAX(0,IF(N(O198)&lt;=0.005,L199,L199+N('Min gæld'!$E$7)-N199))</f>
        <v>4800</v>
      </c>
      <c r="Q199" s="27" t="n">
        <f aca="false">IF(N(S198)&lt;=0.005,0,N(S198)*(1+N('Min gæld'!$D$8)/12))</f>
        <v>0</v>
      </c>
      <c r="R199" s="27" t="n">
        <f aca="false">IF(Q199&lt;=0,0,MIN(Q199,N('Min gæld'!$E$8)+P199))</f>
        <v>0</v>
      </c>
      <c r="S199" s="27" t="n">
        <f aca="false">IF(Q199-R199&lt;0.005,0,Q199-R199)</f>
        <v>0</v>
      </c>
      <c r="T199" s="27" t="n">
        <f aca="false">MAX(0,IF(N(S198)&lt;=0.005,P199,P199+N('Min gæld'!$E$8)-R199))</f>
        <v>4800</v>
      </c>
      <c r="U199" s="27" t="n">
        <f aca="false">IF(N(W198)&lt;=0.005,0,N(W198)*(1+N('Min gæld'!$D$9)/12))</f>
        <v>0</v>
      </c>
      <c r="V199" s="27" t="n">
        <f aca="false">IF(U199&lt;=0,0,MIN(U199,N('Min gæld'!$E$9)+T199))</f>
        <v>0</v>
      </c>
      <c r="W199" s="27" t="n">
        <f aca="false">IF(U199-V199&lt;0.005,0,U199-V199)</f>
        <v>0</v>
      </c>
      <c r="X199" s="27" t="n">
        <f aca="false">MAX(0,IF(N(W198)&lt;=0.005,T199,T199+N('Min gæld'!$E$9)-V199))</f>
        <v>4800</v>
      </c>
      <c r="Y199" s="27" t="n">
        <f aca="false">IF(N(AA198)&lt;=0.005,0,N(AA198)*(1+N('Min gæld'!$D$10)/12))</f>
        <v>0</v>
      </c>
      <c r="Z199" s="27" t="n">
        <f aca="false">IF(Y199&lt;=0,0,MIN(Y199,N('Min gæld'!$E$10)+X199))</f>
        <v>0</v>
      </c>
      <c r="AA199" s="27" t="n">
        <f aca="false">IF(Y199-Z199&lt;0.005,0,Y199-Z199)</f>
        <v>0</v>
      </c>
      <c r="AB199" s="27" t="n">
        <f aca="false">MAX(0,IF(N(AA198)&lt;=0.005,X199,X199+N('Min gæld'!$E$10)-Z199))</f>
        <v>4800</v>
      </c>
      <c r="AC199" s="27" t="n">
        <f aca="false">IF(N(AE198)&lt;=0.005,0,N(AE198)*(1+N('Min gæld'!$D$11)/12))</f>
        <v>0</v>
      </c>
      <c r="AD199" s="27" t="n">
        <f aca="false">IF(AC199&lt;=0,0,MIN(AC199,N('Min gæld'!$E$11)+AB199))</f>
        <v>0</v>
      </c>
      <c r="AE199" s="27" t="n">
        <f aca="false">IF(AC199-AD199&lt;0.005,0,AC199-AD199)</f>
        <v>0</v>
      </c>
      <c r="AF199" s="27" t="n">
        <f aca="false">MAX(0,IF(N(AE198)&lt;=0.005,AB199,AB199+N('Min gæld'!$E$11)-AD199))</f>
        <v>4800</v>
      </c>
      <c r="AG199" s="27" t="n">
        <f aca="false">IF(N(AI198)&lt;=0.005,0,N(AI198)*(1+N('Min gæld'!$D$12)/12))</f>
        <v>0</v>
      </c>
      <c r="AH199" s="27" t="n">
        <f aca="false">IF(AG199&lt;=0,0,MIN(AG199,N('Min gæld'!$E$12)+AF199))</f>
        <v>0</v>
      </c>
      <c r="AI199" s="27" t="n">
        <f aca="false">IF(AG199-AH199&lt;0.005,0,AG199-AH199)</f>
        <v>0</v>
      </c>
      <c r="AJ199" s="27" t="n">
        <f aca="false">G199+K199+O199+S199+W199+AA199+AE199+AI199</f>
        <v>0</v>
      </c>
      <c r="AK199" s="28" t="n">
        <f aca="false">IF(E199&gt;0,E199-N(G198),0)+IF(I199&gt;0,I199-N(K198),0)+IF(M199&gt;0,M199-N(O198),0)+IF(Q199&gt;0,Q199-N(S198),0)+IF(U199&gt;0,U199-N(W198),0)+IF(Y199&gt;0,Y199-N(AA198),0)+IF(AC199&gt;0,AC199-N(AE198),0)+IF(AG199&gt;0,AG199-N(AI198),0)</f>
        <v>0</v>
      </c>
    </row>
    <row r="200" customFormat="false" ht="15" hidden="false" customHeight="false" outlineLevel="0" collapsed="false">
      <c r="A200" s="25" t="n">
        <v>195</v>
      </c>
      <c r="B200" s="26" t="n">
        <f aca="false">EDATE('Min gæld'!$C$16,194)</f>
        <v>52291</v>
      </c>
      <c r="C200" s="27" t="n">
        <f aca="false">N('Min gæld'!$C$15)+IF(N(G199)&lt;=0.005,N('Min gæld'!$E$5),0)+IF(N(K199)&lt;=0.005,N('Min gæld'!$E$6),0)+IF(N(O199)&lt;=0.005,N('Min gæld'!$E$7),0)+IF(N(S199)&lt;=0.005,N('Min gæld'!$E$8),0)+IF(N(W199)&lt;=0.005,N('Min gæld'!$E$9),0)+IF(N(AA199)&lt;=0.005,N('Min gæld'!$E$10),0)+IF(N(AE199)&lt;=0.005,N('Min gæld'!$E$11),0)+IF(N(AI199)&lt;=0.005,N('Min gæld'!$E$12),0)</f>
        <v>4800</v>
      </c>
      <c r="D200" s="27" t="n">
        <f aca="false">MAX(0,C200)</f>
        <v>4800</v>
      </c>
      <c r="E200" s="27" t="n">
        <f aca="false">IF(N(G199)&lt;=0.005,0,N(G199)*(1+N('Min gæld'!$D$5)/12))</f>
        <v>0</v>
      </c>
      <c r="F200" s="27" t="n">
        <f aca="false">IF(E200&lt;=0,0,MIN(E200,N('Min gæld'!$E$5)+D200))</f>
        <v>0</v>
      </c>
      <c r="G200" s="27" t="n">
        <f aca="false">IF(E200-F200&lt;0.005,0,E200-F200)</f>
        <v>0</v>
      </c>
      <c r="H200" s="27" t="n">
        <f aca="false">MAX(0,IF(N(G199)&lt;=0.005,D200,D200+N('Min gæld'!$E$5)-F200))</f>
        <v>4800</v>
      </c>
      <c r="I200" s="27" t="n">
        <f aca="false">IF(N(K199)&lt;=0.005,0,N(K199)*(1+N('Min gæld'!$D$6)/12))</f>
        <v>0</v>
      </c>
      <c r="J200" s="27" t="n">
        <f aca="false">IF(I200&lt;=0,0,MIN(I200,N('Min gæld'!$E$6)+H200))</f>
        <v>0</v>
      </c>
      <c r="K200" s="27" t="n">
        <f aca="false">IF(I200-J200&lt;0.005,0,I200-J200)</f>
        <v>0</v>
      </c>
      <c r="L200" s="27" t="n">
        <f aca="false">MAX(0,IF(N(K199)&lt;=0.005,H200,H200+N('Min gæld'!$E$6)-J200))</f>
        <v>4800</v>
      </c>
      <c r="M200" s="27" t="n">
        <f aca="false">IF(N(O199)&lt;=0.005,0,N(O199)*(1+N('Min gæld'!$D$7)/12))</f>
        <v>0</v>
      </c>
      <c r="N200" s="27" t="n">
        <f aca="false">IF(M200&lt;=0,0,MIN(M200,N('Min gæld'!$E$7)+L200))</f>
        <v>0</v>
      </c>
      <c r="O200" s="27" t="n">
        <f aca="false">IF(M200-N200&lt;0.005,0,M200-N200)</f>
        <v>0</v>
      </c>
      <c r="P200" s="27" t="n">
        <f aca="false">MAX(0,IF(N(O199)&lt;=0.005,L200,L200+N('Min gæld'!$E$7)-N200))</f>
        <v>4800</v>
      </c>
      <c r="Q200" s="27" t="n">
        <f aca="false">IF(N(S199)&lt;=0.005,0,N(S199)*(1+N('Min gæld'!$D$8)/12))</f>
        <v>0</v>
      </c>
      <c r="R200" s="27" t="n">
        <f aca="false">IF(Q200&lt;=0,0,MIN(Q200,N('Min gæld'!$E$8)+P200))</f>
        <v>0</v>
      </c>
      <c r="S200" s="27" t="n">
        <f aca="false">IF(Q200-R200&lt;0.005,0,Q200-R200)</f>
        <v>0</v>
      </c>
      <c r="T200" s="27" t="n">
        <f aca="false">MAX(0,IF(N(S199)&lt;=0.005,P200,P200+N('Min gæld'!$E$8)-R200))</f>
        <v>4800</v>
      </c>
      <c r="U200" s="27" t="n">
        <f aca="false">IF(N(W199)&lt;=0.005,0,N(W199)*(1+N('Min gæld'!$D$9)/12))</f>
        <v>0</v>
      </c>
      <c r="V200" s="27" t="n">
        <f aca="false">IF(U200&lt;=0,0,MIN(U200,N('Min gæld'!$E$9)+T200))</f>
        <v>0</v>
      </c>
      <c r="W200" s="27" t="n">
        <f aca="false">IF(U200-V200&lt;0.005,0,U200-V200)</f>
        <v>0</v>
      </c>
      <c r="X200" s="27" t="n">
        <f aca="false">MAX(0,IF(N(W199)&lt;=0.005,T200,T200+N('Min gæld'!$E$9)-V200))</f>
        <v>4800</v>
      </c>
      <c r="Y200" s="27" t="n">
        <f aca="false">IF(N(AA199)&lt;=0.005,0,N(AA199)*(1+N('Min gæld'!$D$10)/12))</f>
        <v>0</v>
      </c>
      <c r="Z200" s="27" t="n">
        <f aca="false">IF(Y200&lt;=0,0,MIN(Y200,N('Min gæld'!$E$10)+X200))</f>
        <v>0</v>
      </c>
      <c r="AA200" s="27" t="n">
        <f aca="false">IF(Y200-Z200&lt;0.005,0,Y200-Z200)</f>
        <v>0</v>
      </c>
      <c r="AB200" s="27" t="n">
        <f aca="false">MAX(0,IF(N(AA199)&lt;=0.005,X200,X200+N('Min gæld'!$E$10)-Z200))</f>
        <v>4800</v>
      </c>
      <c r="AC200" s="27" t="n">
        <f aca="false">IF(N(AE199)&lt;=0.005,0,N(AE199)*(1+N('Min gæld'!$D$11)/12))</f>
        <v>0</v>
      </c>
      <c r="AD200" s="27" t="n">
        <f aca="false">IF(AC200&lt;=0,0,MIN(AC200,N('Min gæld'!$E$11)+AB200))</f>
        <v>0</v>
      </c>
      <c r="AE200" s="27" t="n">
        <f aca="false">IF(AC200-AD200&lt;0.005,0,AC200-AD200)</f>
        <v>0</v>
      </c>
      <c r="AF200" s="27" t="n">
        <f aca="false">MAX(0,IF(N(AE199)&lt;=0.005,AB200,AB200+N('Min gæld'!$E$11)-AD200))</f>
        <v>4800</v>
      </c>
      <c r="AG200" s="27" t="n">
        <f aca="false">IF(N(AI199)&lt;=0.005,0,N(AI199)*(1+N('Min gæld'!$D$12)/12))</f>
        <v>0</v>
      </c>
      <c r="AH200" s="27" t="n">
        <f aca="false">IF(AG200&lt;=0,0,MIN(AG200,N('Min gæld'!$E$12)+AF200))</f>
        <v>0</v>
      </c>
      <c r="AI200" s="27" t="n">
        <f aca="false">IF(AG200-AH200&lt;0.005,0,AG200-AH200)</f>
        <v>0</v>
      </c>
      <c r="AJ200" s="27" t="n">
        <f aca="false">G200+K200+O200+S200+W200+AA200+AE200+AI200</f>
        <v>0</v>
      </c>
      <c r="AK200" s="28" t="n">
        <f aca="false">IF(E200&gt;0,E200-N(G199),0)+IF(I200&gt;0,I200-N(K199),0)+IF(M200&gt;0,M200-N(O199),0)+IF(Q200&gt;0,Q200-N(S199),0)+IF(U200&gt;0,U200-N(W199),0)+IF(Y200&gt;0,Y200-N(AA199),0)+IF(AC200&gt;0,AC200-N(AE199),0)+IF(AG200&gt;0,AG200-N(AI199),0)</f>
        <v>0</v>
      </c>
    </row>
    <row r="201" customFormat="false" ht="15" hidden="false" customHeight="false" outlineLevel="0" collapsed="false">
      <c r="A201" s="25" t="n">
        <v>196</v>
      </c>
      <c r="B201" s="26" t="n">
        <f aca="false">EDATE('Min gæld'!$C$16,195)</f>
        <v>52322</v>
      </c>
      <c r="C201" s="27" t="n">
        <f aca="false">N('Min gæld'!$C$15)+IF(N(G200)&lt;=0.005,N('Min gæld'!$E$5),0)+IF(N(K200)&lt;=0.005,N('Min gæld'!$E$6),0)+IF(N(O200)&lt;=0.005,N('Min gæld'!$E$7),0)+IF(N(S200)&lt;=0.005,N('Min gæld'!$E$8),0)+IF(N(W200)&lt;=0.005,N('Min gæld'!$E$9),0)+IF(N(AA200)&lt;=0.005,N('Min gæld'!$E$10),0)+IF(N(AE200)&lt;=0.005,N('Min gæld'!$E$11),0)+IF(N(AI200)&lt;=0.005,N('Min gæld'!$E$12),0)</f>
        <v>4800</v>
      </c>
      <c r="D201" s="27" t="n">
        <f aca="false">MAX(0,C201)</f>
        <v>4800</v>
      </c>
      <c r="E201" s="27" t="n">
        <f aca="false">IF(N(G200)&lt;=0.005,0,N(G200)*(1+N('Min gæld'!$D$5)/12))</f>
        <v>0</v>
      </c>
      <c r="F201" s="27" t="n">
        <f aca="false">IF(E201&lt;=0,0,MIN(E201,N('Min gæld'!$E$5)+D201))</f>
        <v>0</v>
      </c>
      <c r="G201" s="27" t="n">
        <f aca="false">IF(E201-F201&lt;0.005,0,E201-F201)</f>
        <v>0</v>
      </c>
      <c r="H201" s="27" t="n">
        <f aca="false">MAX(0,IF(N(G200)&lt;=0.005,D201,D201+N('Min gæld'!$E$5)-F201))</f>
        <v>4800</v>
      </c>
      <c r="I201" s="27" t="n">
        <f aca="false">IF(N(K200)&lt;=0.005,0,N(K200)*(1+N('Min gæld'!$D$6)/12))</f>
        <v>0</v>
      </c>
      <c r="J201" s="27" t="n">
        <f aca="false">IF(I201&lt;=0,0,MIN(I201,N('Min gæld'!$E$6)+H201))</f>
        <v>0</v>
      </c>
      <c r="K201" s="27" t="n">
        <f aca="false">IF(I201-J201&lt;0.005,0,I201-J201)</f>
        <v>0</v>
      </c>
      <c r="L201" s="27" t="n">
        <f aca="false">MAX(0,IF(N(K200)&lt;=0.005,H201,H201+N('Min gæld'!$E$6)-J201))</f>
        <v>4800</v>
      </c>
      <c r="M201" s="27" t="n">
        <f aca="false">IF(N(O200)&lt;=0.005,0,N(O200)*(1+N('Min gæld'!$D$7)/12))</f>
        <v>0</v>
      </c>
      <c r="N201" s="27" t="n">
        <f aca="false">IF(M201&lt;=0,0,MIN(M201,N('Min gæld'!$E$7)+L201))</f>
        <v>0</v>
      </c>
      <c r="O201" s="27" t="n">
        <f aca="false">IF(M201-N201&lt;0.005,0,M201-N201)</f>
        <v>0</v>
      </c>
      <c r="P201" s="27" t="n">
        <f aca="false">MAX(0,IF(N(O200)&lt;=0.005,L201,L201+N('Min gæld'!$E$7)-N201))</f>
        <v>4800</v>
      </c>
      <c r="Q201" s="27" t="n">
        <f aca="false">IF(N(S200)&lt;=0.005,0,N(S200)*(1+N('Min gæld'!$D$8)/12))</f>
        <v>0</v>
      </c>
      <c r="R201" s="27" t="n">
        <f aca="false">IF(Q201&lt;=0,0,MIN(Q201,N('Min gæld'!$E$8)+P201))</f>
        <v>0</v>
      </c>
      <c r="S201" s="27" t="n">
        <f aca="false">IF(Q201-R201&lt;0.005,0,Q201-R201)</f>
        <v>0</v>
      </c>
      <c r="T201" s="27" t="n">
        <f aca="false">MAX(0,IF(N(S200)&lt;=0.005,P201,P201+N('Min gæld'!$E$8)-R201))</f>
        <v>4800</v>
      </c>
      <c r="U201" s="27" t="n">
        <f aca="false">IF(N(W200)&lt;=0.005,0,N(W200)*(1+N('Min gæld'!$D$9)/12))</f>
        <v>0</v>
      </c>
      <c r="V201" s="27" t="n">
        <f aca="false">IF(U201&lt;=0,0,MIN(U201,N('Min gæld'!$E$9)+T201))</f>
        <v>0</v>
      </c>
      <c r="W201" s="27" t="n">
        <f aca="false">IF(U201-V201&lt;0.005,0,U201-V201)</f>
        <v>0</v>
      </c>
      <c r="X201" s="27" t="n">
        <f aca="false">MAX(0,IF(N(W200)&lt;=0.005,T201,T201+N('Min gæld'!$E$9)-V201))</f>
        <v>4800</v>
      </c>
      <c r="Y201" s="27" t="n">
        <f aca="false">IF(N(AA200)&lt;=0.005,0,N(AA200)*(1+N('Min gæld'!$D$10)/12))</f>
        <v>0</v>
      </c>
      <c r="Z201" s="27" t="n">
        <f aca="false">IF(Y201&lt;=0,0,MIN(Y201,N('Min gæld'!$E$10)+X201))</f>
        <v>0</v>
      </c>
      <c r="AA201" s="27" t="n">
        <f aca="false">IF(Y201-Z201&lt;0.005,0,Y201-Z201)</f>
        <v>0</v>
      </c>
      <c r="AB201" s="27" t="n">
        <f aca="false">MAX(0,IF(N(AA200)&lt;=0.005,X201,X201+N('Min gæld'!$E$10)-Z201))</f>
        <v>4800</v>
      </c>
      <c r="AC201" s="27" t="n">
        <f aca="false">IF(N(AE200)&lt;=0.005,0,N(AE200)*(1+N('Min gæld'!$D$11)/12))</f>
        <v>0</v>
      </c>
      <c r="AD201" s="27" t="n">
        <f aca="false">IF(AC201&lt;=0,0,MIN(AC201,N('Min gæld'!$E$11)+AB201))</f>
        <v>0</v>
      </c>
      <c r="AE201" s="27" t="n">
        <f aca="false">IF(AC201-AD201&lt;0.005,0,AC201-AD201)</f>
        <v>0</v>
      </c>
      <c r="AF201" s="27" t="n">
        <f aca="false">MAX(0,IF(N(AE200)&lt;=0.005,AB201,AB201+N('Min gæld'!$E$11)-AD201))</f>
        <v>4800</v>
      </c>
      <c r="AG201" s="27" t="n">
        <f aca="false">IF(N(AI200)&lt;=0.005,0,N(AI200)*(1+N('Min gæld'!$D$12)/12))</f>
        <v>0</v>
      </c>
      <c r="AH201" s="27" t="n">
        <f aca="false">IF(AG201&lt;=0,0,MIN(AG201,N('Min gæld'!$E$12)+AF201))</f>
        <v>0</v>
      </c>
      <c r="AI201" s="27" t="n">
        <f aca="false">IF(AG201-AH201&lt;0.005,0,AG201-AH201)</f>
        <v>0</v>
      </c>
      <c r="AJ201" s="27" t="n">
        <f aca="false">G201+K201+O201+S201+W201+AA201+AE201+AI201</f>
        <v>0</v>
      </c>
      <c r="AK201" s="28" t="n">
        <f aca="false">IF(E201&gt;0,E201-N(G200),0)+IF(I201&gt;0,I201-N(K200),0)+IF(M201&gt;0,M201-N(O200),0)+IF(Q201&gt;0,Q201-N(S200),0)+IF(U201&gt;0,U201-N(W200),0)+IF(Y201&gt;0,Y201-N(AA200),0)+IF(AC201&gt;0,AC201-N(AE200),0)+IF(AG201&gt;0,AG201-N(AI200),0)</f>
        <v>0</v>
      </c>
    </row>
    <row r="202" customFormat="false" ht="15" hidden="false" customHeight="false" outlineLevel="0" collapsed="false">
      <c r="A202" s="25" t="n">
        <v>197</v>
      </c>
      <c r="B202" s="26" t="n">
        <f aca="false">EDATE('Min gæld'!$C$16,196)</f>
        <v>52352</v>
      </c>
      <c r="C202" s="27" t="n">
        <f aca="false">N('Min gæld'!$C$15)+IF(N(G201)&lt;=0.005,N('Min gæld'!$E$5),0)+IF(N(K201)&lt;=0.005,N('Min gæld'!$E$6),0)+IF(N(O201)&lt;=0.005,N('Min gæld'!$E$7),0)+IF(N(S201)&lt;=0.005,N('Min gæld'!$E$8),0)+IF(N(W201)&lt;=0.005,N('Min gæld'!$E$9),0)+IF(N(AA201)&lt;=0.005,N('Min gæld'!$E$10),0)+IF(N(AE201)&lt;=0.005,N('Min gæld'!$E$11),0)+IF(N(AI201)&lt;=0.005,N('Min gæld'!$E$12),0)</f>
        <v>4800</v>
      </c>
      <c r="D202" s="27" t="n">
        <f aca="false">MAX(0,C202)</f>
        <v>4800</v>
      </c>
      <c r="E202" s="27" t="n">
        <f aca="false">IF(N(G201)&lt;=0.005,0,N(G201)*(1+N('Min gæld'!$D$5)/12))</f>
        <v>0</v>
      </c>
      <c r="F202" s="27" t="n">
        <f aca="false">IF(E202&lt;=0,0,MIN(E202,N('Min gæld'!$E$5)+D202))</f>
        <v>0</v>
      </c>
      <c r="G202" s="27" t="n">
        <f aca="false">IF(E202-F202&lt;0.005,0,E202-F202)</f>
        <v>0</v>
      </c>
      <c r="H202" s="27" t="n">
        <f aca="false">MAX(0,IF(N(G201)&lt;=0.005,D202,D202+N('Min gæld'!$E$5)-F202))</f>
        <v>4800</v>
      </c>
      <c r="I202" s="27" t="n">
        <f aca="false">IF(N(K201)&lt;=0.005,0,N(K201)*(1+N('Min gæld'!$D$6)/12))</f>
        <v>0</v>
      </c>
      <c r="J202" s="27" t="n">
        <f aca="false">IF(I202&lt;=0,0,MIN(I202,N('Min gæld'!$E$6)+H202))</f>
        <v>0</v>
      </c>
      <c r="K202" s="27" t="n">
        <f aca="false">IF(I202-J202&lt;0.005,0,I202-J202)</f>
        <v>0</v>
      </c>
      <c r="L202" s="27" t="n">
        <f aca="false">MAX(0,IF(N(K201)&lt;=0.005,H202,H202+N('Min gæld'!$E$6)-J202))</f>
        <v>4800</v>
      </c>
      <c r="M202" s="27" t="n">
        <f aca="false">IF(N(O201)&lt;=0.005,0,N(O201)*(1+N('Min gæld'!$D$7)/12))</f>
        <v>0</v>
      </c>
      <c r="N202" s="27" t="n">
        <f aca="false">IF(M202&lt;=0,0,MIN(M202,N('Min gæld'!$E$7)+L202))</f>
        <v>0</v>
      </c>
      <c r="O202" s="27" t="n">
        <f aca="false">IF(M202-N202&lt;0.005,0,M202-N202)</f>
        <v>0</v>
      </c>
      <c r="P202" s="27" t="n">
        <f aca="false">MAX(0,IF(N(O201)&lt;=0.005,L202,L202+N('Min gæld'!$E$7)-N202))</f>
        <v>4800</v>
      </c>
      <c r="Q202" s="27" t="n">
        <f aca="false">IF(N(S201)&lt;=0.005,0,N(S201)*(1+N('Min gæld'!$D$8)/12))</f>
        <v>0</v>
      </c>
      <c r="R202" s="27" t="n">
        <f aca="false">IF(Q202&lt;=0,0,MIN(Q202,N('Min gæld'!$E$8)+P202))</f>
        <v>0</v>
      </c>
      <c r="S202" s="27" t="n">
        <f aca="false">IF(Q202-R202&lt;0.005,0,Q202-R202)</f>
        <v>0</v>
      </c>
      <c r="T202" s="27" t="n">
        <f aca="false">MAX(0,IF(N(S201)&lt;=0.005,P202,P202+N('Min gæld'!$E$8)-R202))</f>
        <v>4800</v>
      </c>
      <c r="U202" s="27" t="n">
        <f aca="false">IF(N(W201)&lt;=0.005,0,N(W201)*(1+N('Min gæld'!$D$9)/12))</f>
        <v>0</v>
      </c>
      <c r="V202" s="27" t="n">
        <f aca="false">IF(U202&lt;=0,0,MIN(U202,N('Min gæld'!$E$9)+T202))</f>
        <v>0</v>
      </c>
      <c r="W202" s="27" t="n">
        <f aca="false">IF(U202-V202&lt;0.005,0,U202-V202)</f>
        <v>0</v>
      </c>
      <c r="X202" s="27" t="n">
        <f aca="false">MAX(0,IF(N(W201)&lt;=0.005,T202,T202+N('Min gæld'!$E$9)-V202))</f>
        <v>4800</v>
      </c>
      <c r="Y202" s="27" t="n">
        <f aca="false">IF(N(AA201)&lt;=0.005,0,N(AA201)*(1+N('Min gæld'!$D$10)/12))</f>
        <v>0</v>
      </c>
      <c r="Z202" s="27" t="n">
        <f aca="false">IF(Y202&lt;=0,0,MIN(Y202,N('Min gæld'!$E$10)+X202))</f>
        <v>0</v>
      </c>
      <c r="AA202" s="27" t="n">
        <f aca="false">IF(Y202-Z202&lt;0.005,0,Y202-Z202)</f>
        <v>0</v>
      </c>
      <c r="AB202" s="27" t="n">
        <f aca="false">MAX(0,IF(N(AA201)&lt;=0.005,X202,X202+N('Min gæld'!$E$10)-Z202))</f>
        <v>4800</v>
      </c>
      <c r="AC202" s="27" t="n">
        <f aca="false">IF(N(AE201)&lt;=0.005,0,N(AE201)*(1+N('Min gæld'!$D$11)/12))</f>
        <v>0</v>
      </c>
      <c r="AD202" s="27" t="n">
        <f aca="false">IF(AC202&lt;=0,0,MIN(AC202,N('Min gæld'!$E$11)+AB202))</f>
        <v>0</v>
      </c>
      <c r="AE202" s="27" t="n">
        <f aca="false">IF(AC202-AD202&lt;0.005,0,AC202-AD202)</f>
        <v>0</v>
      </c>
      <c r="AF202" s="27" t="n">
        <f aca="false">MAX(0,IF(N(AE201)&lt;=0.005,AB202,AB202+N('Min gæld'!$E$11)-AD202))</f>
        <v>4800</v>
      </c>
      <c r="AG202" s="27" t="n">
        <f aca="false">IF(N(AI201)&lt;=0.005,0,N(AI201)*(1+N('Min gæld'!$D$12)/12))</f>
        <v>0</v>
      </c>
      <c r="AH202" s="27" t="n">
        <f aca="false">IF(AG202&lt;=0,0,MIN(AG202,N('Min gæld'!$E$12)+AF202))</f>
        <v>0</v>
      </c>
      <c r="AI202" s="27" t="n">
        <f aca="false">IF(AG202-AH202&lt;0.005,0,AG202-AH202)</f>
        <v>0</v>
      </c>
      <c r="AJ202" s="27" t="n">
        <f aca="false">G202+K202+O202+S202+W202+AA202+AE202+AI202</f>
        <v>0</v>
      </c>
      <c r="AK202" s="28" t="n">
        <f aca="false">IF(E202&gt;0,E202-N(G201),0)+IF(I202&gt;0,I202-N(K201),0)+IF(M202&gt;0,M202-N(O201),0)+IF(Q202&gt;0,Q202-N(S201),0)+IF(U202&gt;0,U202-N(W201),0)+IF(Y202&gt;0,Y202-N(AA201),0)+IF(AC202&gt;0,AC202-N(AE201),0)+IF(AG202&gt;0,AG202-N(AI201),0)</f>
        <v>0</v>
      </c>
    </row>
    <row r="203" customFormat="false" ht="15" hidden="false" customHeight="false" outlineLevel="0" collapsed="false">
      <c r="A203" s="25" t="n">
        <v>198</v>
      </c>
      <c r="B203" s="26" t="n">
        <f aca="false">EDATE('Min gæld'!$C$16,197)</f>
        <v>52383</v>
      </c>
      <c r="C203" s="27" t="n">
        <f aca="false">N('Min gæld'!$C$15)+IF(N(G202)&lt;=0.005,N('Min gæld'!$E$5),0)+IF(N(K202)&lt;=0.005,N('Min gæld'!$E$6),0)+IF(N(O202)&lt;=0.005,N('Min gæld'!$E$7),0)+IF(N(S202)&lt;=0.005,N('Min gæld'!$E$8),0)+IF(N(W202)&lt;=0.005,N('Min gæld'!$E$9),0)+IF(N(AA202)&lt;=0.005,N('Min gæld'!$E$10),0)+IF(N(AE202)&lt;=0.005,N('Min gæld'!$E$11),0)+IF(N(AI202)&lt;=0.005,N('Min gæld'!$E$12),0)</f>
        <v>4800</v>
      </c>
      <c r="D203" s="27" t="n">
        <f aca="false">MAX(0,C203)</f>
        <v>4800</v>
      </c>
      <c r="E203" s="27" t="n">
        <f aca="false">IF(N(G202)&lt;=0.005,0,N(G202)*(1+N('Min gæld'!$D$5)/12))</f>
        <v>0</v>
      </c>
      <c r="F203" s="27" t="n">
        <f aca="false">IF(E203&lt;=0,0,MIN(E203,N('Min gæld'!$E$5)+D203))</f>
        <v>0</v>
      </c>
      <c r="G203" s="27" t="n">
        <f aca="false">IF(E203-F203&lt;0.005,0,E203-F203)</f>
        <v>0</v>
      </c>
      <c r="H203" s="27" t="n">
        <f aca="false">MAX(0,IF(N(G202)&lt;=0.005,D203,D203+N('Min gæld'!$E$5)-F203))</f>
        <v>4800</v>
      </c>
      <c r="I203" s="27" t="n">
        <f aca="false">IF(N(K202)&lt;=0.005,0,N(K202)*(1+N('Min gæld'!$D$6)/12))</f>
        <v>0</v>
      </c>
      <c r="J203" s="27" t="n">
        <f aca="false">IF(I203&lt;=0,0,MIN(I203,N('Min gæld'!$E$6)+H203))</f>
        <v>0</v>
      </c>
      <c r="K203" s="27" t="n">
        <f aca="false">IF(I203-J203&lt;0.005,0,I203-J203)</f>
        <v>0</v>
      </c>
      <c r="L203" s="27" t="n">
        <f aca="false">MAX(0,IF(N(K202)&lt;=0.005,H203,H203+N('Min gæld'!$E$6)-J203))</f>
        <v>4800</v>
      </c>
      <c r="M203" s="27" t="n">
        <f aca="false">IF(N(O202)&lt;=0.005,0,N(O202)*(1+N('Min gæld'!$D$7)/12))</f>
        <v>0</v>
      </c>
      <c r="N203" s="27" t="n">
        <f aca="false">IF(M203&lt;=0,0,MIN(M203,N('Min gæld'!$E$7)+L203))</f>
        <v>0</v>
      </c>
      <c r="O203" s="27" t="n">
        <f aca="false">IF(M203-N203&lt;0.005,0,M203-N203)</f>
        <v>0</v>
      </c>
      <c r="P203" s="27" t="n">
        <f aca="false">MAX(0,IF(N(O202)&lt;=0.005,L203,L203+N('Min gæld'!$E$7)-N203))</f>
        <v>4800</v>
      </c>
      <c r="Q203" s="27" t="n">
        <f aca="false">IF(N(S202)&lt;=0.005,0,N(S202)*(1+N('Min gæld'!$D$8)/12))</f>
        <v>0</v>
      </c>
      <c r="R203" s="27" t="n">
        <f aca="false">IF(Q203&lt;=0,0,MIN(Q203,N('Min gæld'!$E$8)+P203))</f>
        <v>0</v>
      </c>
      <c r="S203" s="27" t="n">
        <f aca="false">IF(Q203-R203&lt;0.005,0,Q203-R203)</f>
        <v>0</v>
      </c>
      <c r="T203" s="27" t="n">
        <f aca="false">MAX(0,IF(N(S202)&lt;=0.005,P203,P203+N('Min gæld'!$E$8)-R203))</f>
        <v>4800</v>
      </c>
      <c r="U203" s="27" t="n">
        <f aca="false">IF(N(W202)&lt;=0.005,0,N(W202)*(1+N('Min gæld'!$D$9)/12))</f>
        <v>0</v>
      </c>
      <c r="V203" s="27" t="n">
        <f aca="false">IF(U203&lt;=0,0,MIN(U203,N('Min gæld'!$E$9)+T203))</f>
        <v>0</v>
      </c>
      <c r="W203" s="27" t="n">
        <f aca="false">IF(U203-V203&lt;0.005,0,U203-V203)</f>
        <v>0</v>
      </c>
      <c r="X203" s="27" t="n">
        <f aca="false">MAX(0,IF(N(W202)&lt;=0.005,T203,T203+N('Min gæld'!$E$9)-V203))</f>
        <v>4800</v>
      </c>
      <c r="Y203" s="27" t="n">
        <f aca="false">IF(N(AA202)&lt;=0.005,0,N(AA202)*(1+N('Min gæld'!$D$10)/12))</f>
        <v>0</v>
      </c>
      <c r="Z203" s="27" t="n">
        <f aca="false">IF(Y203&lt;=0,0,MIN(Y203,N('Min gæld'!$E$10)+X203))</f>
        <v>0</v>
      </c>
      <c r="AA203" s="27" t="n">
        <f aca="false">IF(Y203-Z203&lt;0.005,0,Y203-Z203)</f>
        <v>0</v>
      </c>
      <c r="AB203" s="27" t="n">
        <f aca="false">MAX(0,IF(N(AA202)&lt;=0.005,X203,X203+N('Min gæld'!$E$10)-Z203))</f>
        <v>4800</v>
      </c>
      <c r="AC203" s="27" t="n">
        <f aca="false">IF(N(AE202)&lt;=0.005,0,N(AE202)*(1+N('Min gæld'!$D$11)/12))</f>
        <v>0</v>
      </c>
      <c r="AD203" s="27" t="n">
        <f aca="false">IF(AC203&lt;=0,0,MIN(AC203,N('Min gæld'!$E$11)+AB203))</f>
        <v>0</v>
      </c>
      <c r="AE203" s="27" t="n">
        <f aca="false">IF(AC203-AD203&lt;0.005,0,AC203-AD203)</f>
        <v>0</v>
      </c>
      <c r="AF203" s="27" t="n">
        <f aca="false">MAX(0,IF(N(AE202)&lt;=0.005,AB203,AB203+N('Min gæld'!$E$11)-AD203))</f>
        <v>4800</v>
      </c>
      <c r="AG203" s="27" t="n">
        <f aca="false">IF(N(AI202)&lt;=0.005,0,N(AI202)*(1+N('Min gæld'!$D$12)/12))</f>
        <v>0</v>
      </c>
      <c r="AH203" s="27" t="n">
        <f aca="false">IF(AG203&lt;=0,0,MIN(AG203,N('Min gæld'!$E$12)+AF203))</f>
        <v>0</v>
      </c>
      <c r="AI203" s="27" t="n">
        <f aca="false">IF(AG203-AH203&lt;0.005,0,AG203-AH203)</f>
        <v>0</v>
      </c>
      <c r="AJ203" s="27" t="n">
        <f aca="false">G203+K203+O203+S203+W203+AA203+AE203+AI203</f>
        <v>0</v>
      </c>
      <c r="AK203" s="28" t="n">
        <f aca="false">IF(E203&gt;0,E203-N(G202),0)+IF(I203&gt;0,I203-N(K202),0)+IF(M203&gt;0,M203-N(O202),0)+IF(Q203&gt;0,Q203-N(S202),0)+IF(U203&gt;0,U203-N(W202),0)+IF(Y203&gt;0,Y203-N(AA202),0)+IF(AC203&gt;0,AC203-N(AE202),0)+IF(AG203&gt;0,AG203-N(AI202),0)</f>
        <v>0</v>
      </c>
    </row>
    <row r="204" customFormat="false" ht="15" hidden="false" customHeight="false" outlineLevel="0" collapsed="false">
      <c r="A204" s="25" t="n">
        <v>199</v>
      </c>
      <c r="B204" s="26" t="n">
        <f aca="false">EDATE('Min gæld'!$C$16,198)</f>
        <v>52413</v>
      </c>
      <c r="C204" s="27" t="n">
        <f aca="false">N('Min gæld'!$C$15)+IF(N(G203)&lt;=0.005,N('Min gæld'!$E$5),0)+IF(N(K203)&lt;=0.005,N('Min gæld'!$E$6),0)+IF(N(O203)&lt;=0.005,N('Min gæld'!$E$7),0)+IF(N(S203)&lt;=0.005,N('Min gæld'!$E$8),0)+IF(N(W203)&lt;=0.005,N('Min gæld'!$E$9),0)+IF(N(AA203)&lt;=0.005,N('Min gæld'!$E$10),0)+IF(N(AE203)&lt;=0.005,N('Min gæld'!$E$11),0)+IF(N(AI203)&lt;=0.005,N('Min gæld'!$E$12),0)</f>
        <v>4800</v>
      </c>
      <c r="D204" s="27" t="n">
        <f aca="false">MAX(0,C204)</f>
        <v>4800</v>
      </c>
      <c r="E204" s="27" t="n">
        <f aca="false">IF(N(G203)&lt;=0.005,0,N(G203)*(1+N('Min gæld'!$D$5)/12))</f>
        <v>0</v>
      </c>
      <c r="F204" s="27" t="n">
        <f aca="false">IF(E204&lt;=0,0,MIN(E204,N('Min gæld'!$E$5)+D204))</f>
        <v>0</v>
      </c>
      <c r="G204" s="27" t="n">
        <f aca="false">IF(E204-F204&lt;0.005,0,E204-F204)</f>
        <v>0</v>
      </c>
      <c r="H204" s="27" t="n">
        <f aca="false">MAX(0,IF(N(G203)&lt;=0.005,D204,D204+N('Min gæld'!$E$5)-F204))</f>
        <v>4800</v>
      </c>
      <c r="I204" s="27" t="n">
        <f aca="false">IF(N(K203)&lt;=0.005,0,N(K203)*(1+N('Min gæld'!$D$6)/12))</f>
        <v>0</v>
      </c>
      <c r="J204" s="27" t="n">
        <f aca="false">IF(I204&lt;=0,0,MIN(I204,N('Min gæld'!$E$6)+H204))</f>
        <v>0</v>
      </c>
      <c r="K204" s="27" t="n">
        <f aca="false">IF(I204-J204&lt;0.005,0,I204-J204)</f>
        <v>0</v>
      </c>
      <c r="L204" s="27" t="n">
        <f aca="false">MAX(0,IF(N(K203)&lt;=0.005,H204,H204+N('Min gæld'!$E$6)-J204))</f>
        <v>4800</v>
      </c>
      <c r="M204" s="27" t="n">
        <f aca="false">IF(N(O203)&lt;=0.005,0,N(O203)*(1+N('Min gæld'!$D$7)/12))</f>
        <v>0</v>
      </c>
      <c r="N204" s="27" t="n">
        <f aca="false">IF(M204&lt;=0,0,MIN(M204,N('Min gæld'!$E$7)+L204))</f>
        <v>0</v>
      </c>
      <c r="O204" s="27" t="n">
        <f aca="false">IF(M204-N204&lt;0.005,0,M204-N204)</f>
        <v>0</v>
      </c>
      <c r="P204" s="27" t="n">
        <f aca="false">MAX(0,IF(N(O203)&lt;=0.005,L204,L204+N('Min gæld'!$E$7)-N204))</f>
        <v>4800</v>
      </c>
      <c r="Q204" s="27" t="n">
        <f aca="false">IF(N(S203)&lt;=0.005,0,N(S203)*(1+N('Min gæld'!$D$8)/12))</f>
        <v>0</v>
      </c>
      <c r="R204" s="27" t="n">
        <f aca="false">IF(Q204&lt;=0,0,MIN(Q204,N('Min gæld'!$E$8)+P204))</f>
        <v>0</v>
      </c>
      <c r="S204" s="27" t="n">
        <f aca="false">IF(Q204-R204&lt;0.005,0,Q204-R204)</f>
        <v>0</v>
      </c>
      <c r="T204" s="27" t="n">
        <f aca="false">MAX(0,IF(N(S203)&lt;=0.005,P204,P204+N('Min gæld'!$E$8)-R204))</f>
        <v>4800</v>
      </c>
      <c r="U204" s="27" t="n">
        <f aca="false">IF(N(W203)&lt;=0.005,0,N(W203)*(1+N('Min gæld'!$D$9)/12))</f>
        <v>0</v>
      </c>
      <c r="V204" s="27" t="n">
        <f aca="false">IF(U204&lt;=0,0,MIN(U204,N('Min gæld'!$E$9)+T204))</f>
        <v>0</v>
      </c>
      <c r="W204" s="27" t="n">
        <f aca="false">IF(U204-V204&lt;0.005,0,U204-V204)</f>
        <v>0</v>
      </c>
      <c r="X204" s="27" t="n">
        <f aca="false">MAX(0,IF(N(W203)&lt;=0.005,T204,T204+N('Min gæld'!$E$9)-V204))</f>
        <v>4800</v>
      </c>
      <c r="Y204" s="27" t="n">
        <f aca="false">IF(N(AA203)&lt;=0.005,0,N(AA203)*(1+N('Min gæld'!$D$10)/12))</f>
        <v>0</v>
      </c>
      <c r="Z204" s="27" t="n">
        <f aca="false">IF(Y204&lt;=0,0,MIN(Y204,N('Min gæld'!$E$10)+X204))</f>
        <v>0</v>
      </c>
      <c r="AA204" s="27" t="n">
        <f aca="false">IF(Y204-Z204&lt;0.005,0,Y204-Z204)</f>
        <v>0</v>
      </c>
      <c r="AB204" s="27" t="n">
        <f aca="false">MAX(0,IF(N(AA203)&lt;=0.005,X204,X204+N('Min gæld'!$E$10)-Z204))</f>
        <v>4800</v>
      </c>
      <c r="AC204" s="27" t="n">
        <f aca="false">IF(N(AE203)&lt;=0.005,0,N(AE203)*(1+N('Min gæld'!$D$11)/12))</f>
        <v>0</v>
      </c>
      <c r="AD204" s="27" t="n">
        <f aca="false">IF(AC204&lt;=0,0,MIN(AC204,N('Min gæld'!$E$11)+AB204))</f>
        <v>0</v>
      </c>
      <c r="AE204" s="27" t="n">
        <f aca="false">IF(AC204-AD204&lt;0.005,0,AC204-AD204)</f>
        <v>0</v>
      </c>
      <c r="AF204" s="27" t="n">
        <f aca="false">MAX(0,IF(N(AE203)&lt;=0.005,AB204,AB204+N('Min gæld'!$E$11)-AD204))</f>
        <v>4800</v>
      </c>
      <c r="AG204" s="27" t="n">
        <f aca="false">IF(N(AI203)&lt;=0.005,0,N(AI203)*(1+N('Min gæld'!$D$12)/12))</f>
        <v>0</v>
      </c>
      <c r="AH204" s="27" t="n">
        <f aca="false">IF(AG204&lt;=0,0,MIN(AG204,N('Min gæld'!$E$12)+AF204))</f>
        <v>0</v>
      </c>
      <c r="AI204" s="27" t="n">
        <f aca="false">IF(AG204-AH204&lt;0.005,0,AG204-AH204)</f>
        <v>0</v>
      </c>
      <c r="AJ204" s="27" t="n">
        <f aca="false">G204+K204+O204+S204+W204+AA204+AE204+AI204</f>
        <v>0</v>
      </c>
      <c r="AK204" s="28" t="n">
        <f aca="false">IF(E204&gt;0,E204-N(G203),0)+IF(I204&gt;0,I204-N(K203),0)+IF(M204&gt;0,M204-N(O203),0)+IF(Q204&gt;0,Q204-N(S203),0)+IF(U204&gt;0,U204-N(W203),0)+IF(Y204&gt;0,Y204-N(AA203),0)+IF(AC204&gt;0,AC204-N(AE203),0)+IF(AG204&gt;0,AG204-N(AI203),0)</f>
        <v>0</v>
      </c>
    </row>
    <row r="205" customFormat="false" ht="15" hidden="false" customHeight="false" outlineLevel="0" collapsed="false">
      <c r="A205" s="25" t="n">
        <v>200</v>
      </c>
      <c r="B205" s="26" t="n">
        <f aca="false">EDATE('Min gæld'!$C$16,199)</f>
        <v>52444</v>
      </c>
      <c r="C205" s="27" t="n">
        <f aca="false">N('Min gæld'!$C$15)+IF(N(G204)&lt;=0.005,N('Min gæld'!$E$5),0)+IF(N(K204)&lt;=0.005,N('Min gæld'!$E$6),0)+IF(N(O204)&lt;=0.005,N('Min gæld'!$E$7),0)+IF(N(S204)&lt;=0.005,N('Min gæld'!$E$8),0)+IF(N(W204)&lt;=0.005,N('Min gæld'!$E$9),0)+IF(N(AA204)&lt;=0.005,N('Min gæld'!$E$10),0)+IF(N(AE204)&lt;=0.005,N('Min gæld'!$E$11),0)+IF(N(AI204)&lt;=0.005,N('Min gæld'!$E$12),0)</f>
        <v>4800</v>
      </c>
      <c r="D205" s="27" t="n">
        <f aca="false">MAX(0,C205)</f>
        <v>4800</v>
      </c>
      <c r="E205" s="27" t="n">
        <f aca="false">IF(N(G204)&lt;=0.005,0,N(G204)*(1+N('Min gæld'!$D$5)/12))</f>
        <v>0</v>
      </c>
      <c r="F205" s="27" t="n">
        <f aca="false">IF(E205&lt;=0,0,MIN(E205,N('Min gæld'!$E$5)+D205))</f>
        <v>0</v>
      </c>
      <c r="G205" s="27" t="n">
        <f aca="false">IF(E205-F205&lt;0.005,0,E205-F205)</f>
        <v>0</v>
      </c>
      <c r="H205" s="27" t="n">
        <f aca="false">MAX(0,IF(N(G204)&lt;=0.005,D205,D205+N('Min gæld'!$E$5)-F205))</f>
        <v>4800</v>
      </c>
      <c r="I205" s="27" t="n">
        <f aca="false">IF(N(K204)&lt;=0.005,0,N(K204)*(1+N('Min gæld'!$D$6)/12))</f>
        <v>0</v>
      </c>
      <c r="J205" s="27" t="n">
        <f aca="false">IF(I205&lt;=0,0,MIN(I205,N('Min gæld'!$E$6)+H205))</f>
        <v>0</v>
      </c>
      <c r="K205" s="27" t="n">
        <f aca="false">IF(I205-J205&lt;0.005,0,I205-J205)</f>
        <v>0</v>
      </c>
      <c r="L205" s="27" t="n">
        <f aca="false">MAX(0,IF(N(K204)&lt;=0.005,H205,H205+N('Min gæld'!$E$6)-J205))</f>
        <v>4800</v>
      </c>
      <c r="M205" s="27" t="n">
        <f aca="false">IF(N(O204)&lt;=0.005,0,N(O204)*(1+N('Min gæld'!$D$7)/12))</f>
        <v>0</v>
      </c>
      <c r="N205" s="27" t="n">
        <f aca="false">IF(M205&lt;=0,0,MIN(M205,N('Min gæld'!$E$7)+L205))</f>
        <v>0</v>
      </c>
      <c r="O205" s="27" t="n">
        <f aca="false">IF(M205-N205&lt;0.005,0,M205-N205)</f>
        <v>0</v>
      </c>
      <c r="P205" s="27" t="n">
        <f aca="false">MAX(0,IF(N(O204)&lt;=0.005,L205,L205+N('Min gæld'!$E$7)-N205))</f>
        <v>4800</v>
      </c>
      <c r="Q205" s="27" t="n">
        <f aca="false">IF(N(S204)&lt;=0.005,0,N(S204)*(1+N('Min gæld'!$D$8)/12))</f>
        <v>0</v>
      </c>
      <c r="R205" s="27" t="n">
        <f aca="false">IF(Q205&lt;=0,0,MIN(Q205,N('Min gæld'!$E$8)+P205))</f>
        <v>0</v>
      </c>
      <c r="S205" s="27" t="n">
        <f aca="false">IF(Q205-R205&lt;0.005,0,Q205-R205)</f>
        <v>0</v>
      </c>
      <c r="T205" s="27" t="n">
        <f aca="false">MAX(0,IF(N(S204)&lt;=0.005,P205,P205+N('Min gæld'!$E$8)-R205))</f>
        <v>4800</v>
      </c>
      <c r="U205" s="27" t="n">
        <f aca="false">IF(N(W204)&lt;=0.005,0,N(W204)*(1+N('Min gæld'!$D$9)/12))</f>
        <v>0</v>
      </c>
      <c r="V205" s="27" t="n">
        <f aca="false">IF(U205&lt;=0,0,MIN(U205,N('Min gæld'!$E$9)+T205))</f>
        <v>0</v>
      </c>
      <c r="W205" s="27" t="n">
        <f aca="false">IF(U205-V205&lt;0.005,0,U205-V205)</f>
        <v>0</v>
      </c>
      <c r="X205" s="27" t="n">
        <f aca="false">MAX(0,IF(N(W204)&lt;=0.005,T205,T205+N('Min gæld'!$E$9)-V205))</f>
        <v>4800</v>
      </c>
      <c r="Y205" s="27" t="n">
        <f aca="false">IF(N(AA204)&lt;=0.005,0,N(AA204)*(1+N('Min gæld'!$D$10)/12))</f>
        <v>0</v>
      </c>
      <c r="Z205" s="27" t="n">
        <f aca="false">IF(Y205&lt;=0,0,MIN(Y205,N('Min gæld'!$E$10)+X205))</f>
        <v>0</v>
      </c>
      <c r="AA205" s="27" t="n">
        <f aca="false">IF(Y205-Z205&lt;0.005,0,Y205-Z205)</f>
        <v>0</v>
      </c>
      <c r="AB205" s="27" t="n">
        <f aca="false">MAX(0,IF(N(AA204)&lt;=0.005,X205,X205+N('Min gæld'!$E$10)-Z205))</f>
        <v>4800</v>
      </c>
      <c r="AC205" s="27" t="n">
        <f aca="false">IF(N(AE204)&lt;=0.005,0,N(AE204)*(1+N('Min gæld'!$D$11)/12))</f>
        <v>0</v>
      </c>
      <c r="AD205" s="27" t="n">
        <f aca="false">IF(AC205&lt;=0,0,MIN(AC205,N('Min gæld'!$E$11)+AB205))</f>
        <v>0</v>
      </c>
      <c r="AE205" s="27" t="n">
        <f aca="false">IF(AC205-AD205&lt;0.005,0,AC205-AD205)</f>
        <v>0</v>
      </c>
      <c r="AF205" s="27" t="n">
        <f aca="false">MAX(0,IF(N(AE204)&lt;=0.005,AB205,AB205+N('Min gæld'!$E$11)-AD205))</f>
        <v>4800</v>
      </c>
      <c r="AG205" s="27" t="n">
        <f aca="false">IF(N(AI204)&lt;=0.005,0,N(AI204)*(1+N('Min gæld'!$D$12)/12))</f>
        <v>0</v>
      </c>
      <c r="AH205" s="27" t="n">
        <f aca="false">IF(AG205&lt;=0,0,MIN(AG205,N('Min gæld'!$E$12)+AF205))</f>
        <v>0</v>
      </c>
      <c r="AI205" s="27" t="n">
        <f aca="false">IF(AG205-AH205&lt;0.005,0,AG205-AH205)</f>
        <v>0</v>
      </c>
      <c r="AJ205" s="27" t="n">
        <f aca="false">G205+K205+O205+S205+W205+AA205+AE205+AI205</f>
        <v>0</v>
      </c>
      <c r="AK205" s="28" t="n">
        <f aca="false">IF(E205&gt;0,E205-N(G204),0)+IF(I205&gt;0,I205-N(K204),0)+IF(M205&gt;0,M205-N(O204),0)+IF(Q205&gt;0,Q205-N(S204),0)+IF(U205&gt;0,U205-N(W204),0)+IF(Y205&gt;0,Y205-N(AA204),0)+IF(AC205&gt;0,AC205-N(AE204),0)+IF(AG205&gt;0,AG205-N(AI204),0)</f>
        <v>0</v>
      </c>
    </row>
    <row r="206" customFormat="false" ht="15" hidden="false" customHeight="false" outlineLevel="0" collapsed="false">
      <c r="A206" s="25" t="n">
        <v>201</v>
      </c>
      <c r="B206" s="26" t="n">
        <f aca="false">EDATE('Min gæld'!$C$16,200)</f>
        <v>52475</v>
      </c>
      <c r="C206" s="27" t="n">
        <f aca="false">N('Min gæld'!$C$15)+IF(N(G205)&lt;=0.005,N('Min gæld'!$E$5),0)+IF(N(K205)&lt;=0.005,N('Min gæld'!$E$6),0)+IF(N(O205)&lt;=0.005,N('Min gæld'!$E$7),0)+IF(N(S205)&lt;=0.005,N('Min gæld'!$E$8),0)+IF(N(W205)&lt;=0.005,N('Min gæld'!$E$9),0)+IF(N(AA205)&lt;=0.005,N('Min gæld'!$E$10),0)+IF(N(AE205)&lt;=0.005,N('Min gæld'!$E$11),0)+IF(N(AI205)&lt;=0.005,N('Min gæld'!$E$12),0)</f>
        <v>4800</v>
      </c>
      <c r="D206" s="27" t="n">
        <f aca="false">MAX(0,C206)</f>
        <v>4800</v>
      </c>
      <c r="E206" s="27" t="n">
        <f aca="false">IF(N(G205)&lt;=0.005,0,N(G205)*(1+N('Min gæld'!$D$5)/12))</f>
        <v>0</v>
      </c>
      <c r="F206" s="27" t="n">
        <f aca="false">IF(E206&lt;=0,0,MIN(E206,N('Min gæld'!$E$5)+D206))</f>
        <v>0</v>
      </c>
      <c r="G206" s="27" t="n">
        <f aca="false">IF(E206-F206&lt;0.005,0,E206-F206)</f>
        <v>0</v>
      </c>
      <c r="H206" s="27" t="n">
        <f aca="false">MAX(0,IF(N(G205)&lt;=0.005,D206,D206+N('Min gæld'!$E$5)-F206))</f>
        <v>4800</v>
      </c>
      <c r="I206" s="27" t="n">
        <f aca="false">IF(N(K205)&lt;=0.005,0,N(K205)*(1+N('Min gæld'!$D$6)/12))</f>
        <v>0</v>
      </c>
      <c r="J206" s="27" t="n">
        <f aca="false">IF(I206&lt;=0,0,MIN(I206,N('Min gæld'!$E$6)+H206))</f>
        <v>0</v>
      </c>
      <c r="K206" s="27" t="n">
        <f aca="false">IF(I206-J206&lt;0.005,0,I206-J206)</f>
        <v>0</v>
      </c>
      <c r="L206" s="27" t="n">
        <f aca="false">MAX(0,IF(N(K205)&lt;=0.005,H206,H206+N('Min gæld'!$E$6)-J206))</f>
        <v>4800</v>
      </c>
      <c r="M206" s="27" t="n">
        <f aca="false">IF(N(O205)&lt;=0.005,0,N(O205)*(1+N('Min gæld'!$D$7)/12))</f>
        <v>0</v>
      </c>
      <c r="N206" s="27" t="n">
        <f aca="false">IF(M206&lt;=0,0,MIN(M206,N('Min gæld'!$E$7)+L206))</f>
        <v>0</v>
      </c>
      <c r="O206" s="27" t="n">
        <f aca="false">IF(M206-N206&lt;0.005,0,M206-N206)</f>
        <v>0</v>
      </c>
      <c r="P206" s="27" t="n">
        <f aca="false">MAX(0,IF(N(O205)&lt;=0.005,L206,L206+N('Min gæld'!$E$7)-N206))</f>
        <v>4800</v>
      </c>
      <c r="Q206" s="27" t="n">
        <f aca="false">IF(N(S205)&lt;=0.005,0,N(S205)*(1+N('Min gæld'!$D$8)/12))</f>
        <v>0</v>
      </c>
      <c r="R206" s="27" t="n">
        <f aca="false">IF(Q206&lt;=0,0,MIN(Q206,N('Min gæld'!$E$8)+P206))</f>
        <v>0</v>
      </c>
      <c r="S206" s="27" t="n">
        <f aca="false">IF(Q206-R206&lt;0.005,0,Q206-R206)</f>
        <v>0</v>
      </c>
      <c r="T206" s="27" t="n">
        <f aca="false">MAX(0,IF(N(S205)&lt;=0.005,P206,P206+N('Min gæld'!$E$8)-R206))</f>
        <v>4800</v>
      </c>
      <c r="U206" s="27" t="n">
        <f aca="false">IF(N(W205)&lt;=0.005,0,N(W205)*(1+N('Min gæld'!$D$9)/12))</f>
        <v>0</v>
      </c>
      <c r="V206" s="27" t="n">
        <f aca="false">IF(U206&lt;=0,0,MIN(U206,N('Min gæld'!$E$9)+T206))</f>
        <v>0</v>
      </c>
      <c r="W206" s="27" t="n">
        <f aca="false">IF(U206-V206&lt;0.005,0,U206-V206)</f>
        <v>0</v>
      </c>
      <c r="X206" s="27" t="n">
        <f aca="false">MAX(0,IF(N(W205)&lt;=0.005,T206,T206+N('Min gæld'!$E$9)-V206))</f>
        <v>4800</v>
      </c>
      <c r="Y206" s="27" t="n">
        <f aca="false">IF(N(AA205)&lt;=0.005,0,N(AA205)*(1+N('Min gæld'!$D$10)/12))</f>
        <v>0</v>
      </c>
      <c r="Z206" s="27" t="n">
        <f aca="false">IF(Y206&lt;=0,0,MIN(Y206,N('Min gæld'!$E$10)+X206))</f>
        <v>0</v>
      </c>
      <c r="AA206" s="27" t="n">
        <f aca="false">IF(Y206-Z206&lt;0.005,0,Y206-Z206)</f>
        <v>0</v>
      </c>
      <c r="AB206" s="27" t="n">
        <f aca="false">MAX(0,IF(N(AA205)&lt;=0.005,X206,X206+N('Min gæld'!$E$10)-Z206))</f>
        <v>4800</v>
      </c>
      <c r="AC206" s="27" t="n">
        <f aca="false">IF(N(AE205)&lt;=0.005,0,N(AE205)*(1+N('Min gæld'!$D$11)/12))</f>
        <v>0</v>
      </c>
      <c r="AD206" s="27" t="n">
        <f aca="false">IF(AC206&lt;=0,0,MIN(AC206,N('Min gæld'!$E$11)+AB206))</f>
        <v>0</v>
      </c>
      <c r="AE206" s="27" t="n">
        <f aca="false">IF(AC206-AD206&lt;0.005,0,AC206-AD206)</f>
        <v>0</v>
      </c>
      <c r="AF206" s="27" t="n">
        <f aca="false">MAX(0,IF(N(AE205)&lt;=0.005,AB206,AB206+N('Min gæld'!$E$11)-AD206))</f>
        <v>4800</v>
      </c>
      <c r="AG206" s="27" t="n">
        <f aca="false">IF(N(AI205)&lt;=0.005,0,N(AI205)*(1+N('Min gæld'!$D$12)/12))</f>
        <v>0</v>
      </c>
      <c r="AH206" s="27" t="n">
        <f aca="false">IF(AG206&lt;=0,0,MIN(AG206,N('Min gæld'!$E$12)+AF206))</f>
        <v>0</v>
      </c>
      <c r="AI206" s="27" t="n">
        <f aca="false">IF(AG206-AH206&lt;0.005,0,AG206-AH206)</f>
        <v>0</v>
      </c>
      <c r="AJ206" s="27" t="n">
        <f aca="false">G206+K206+O206+S206+W206+AA206+AE206+AI206</f>
        <v>0</v>
      </c>
      <c r="AK206" s="28" t="n">
        <f aca="false">IF(E206&gt;0,E206-N(G205),0)+IF(I206&gt;0,I206-N(K205),0)+IF(M206&gt;0,M206-N(O205),0)+IF(Q206&gt;0,Q206-N(S205),0)+IF(U206&gt;0,U206-N(W205),0)+IF(Y206&gt;0,Y206-N(AA205),0)+IF(AC206&gt;0,AC206-N(AE205),0)+IF(AG206&gt;0,AG206-N(AI205),0)</f>
        <v>0</v>
      </c>
    </row>
    <row r="207" customFormat="false" ht="15" hidden="false" customHeight="false" outlineLevel="0" collapsed="false">
      <c r="A207" s="25" t="n">
        <v>202</v>
      </c>
      <c r="B207" s="26" t="n">
        <f aca="false">EDATE('Min gæld'!$C$16,201)</f>
        <v>52505</v>
      </c>
      <c r="C207" s="27" t="n">
        <f aca="false">N('Min gæld'!$C$15)+IF(N(G206)&lt;=0.005,N('Min gæld'!$E$5),0)+IF(N(K206)&lt;=0.005,N('Min gæld'!$E$6),0)+IF(N(O206)&lt;=0.005,N('Min gæld'!$E$7),0)+IF(N(S206)&lt;=0.005,N('Min gæld'!$E$8),0)+IF(N(W206)&lt;=0.005,N('Min gæld'!$E$9),0)+IF(N(AA206)&lt;=0.005,N('Min gæld'!$E$10),0)+IF(N(AE206)&lt;=0.005,N('Min gæld'!$E$11),0)+IF(N(AI206)&lt;=0.005,N('Min gæld'!$E$12),0)</f>
        <v>4800</v>
      </c>
      <c r="D207" s="27" t="n">
        <f aca="false">MAX(0,C207)</f>
        <v>4800</v>
      </c>
      <c r="E207" s="27" t="n">
        <f aca="false">IF(N(G206)&lt;=0.005,0,N(G206)*(1+N('Min gæld'!$D$5)/12))</f>
        <v>0</v>
      </c>
      <c r="F207" s="27" t="n">
        <f aca="false">IF(E207&lt;=0,0,MIN(E207,N('Min gæld'!$E$5)+D207))</f>
        <v>0</v>
      </c>
      <c r="G207" s="27" t="n">
        <f aca="false">IF(E207-F207&lt;0.005,0,E207-F207)</f>
        <v>0</v>
      </c>
      <c r="H207" s="27" t="n">
        <f aca="false">MAX(0,IF(N(G206)&lt;=0.005,D207,D207+N('Min gæld'!$E$5)-F207))</f>
        <v>4800</v>
      </c>
      <c r="I207" s="27" t="n">
        <f aca="false">IF(N(K206)&lt;=0.005,0,N(K206)*(1+N('Min gæld'!$D$6)/12))</f>
        <v>0</v>
      </c>
      <c r="J207" s="27" t="n">
        <f aca="false">IF(I207&lt;=0,0,MIN(I207,N('Min gæld'!$E$6)+H207))</f>
        <v>0</v>
      </c>
      <c r="K207" s="27" t="n">
        <f aca="false">IF(I207-J207&lt;0.005,0,I207-J207)</f>
        <v>0</v>
      </c>
      <c r="L207" s="27" t="n">
        <f aca="false">MAX(0,IF(N(K206)&lt;=0.005,H207,H207+N('Min gæld'!$E$6)-J207))</f>
        <v>4800</v>
      </c>
      <c r="M207" s="27" t="n">
        <f aca="false">IF(N(O206)&lt;=0.005,0,N(O206)*(1+N('Min gæld'!$D$7)/12))</f>
        <v>0</v>
      </c>
      <c r="N207" s="27" t="n">
        <f aca="false">IF(M207&lt;=0,0,MIN(M207,N('Min gæld'!$E$7)+L207))</f>
        <v>0</v>
      </c>
      <c r="O207" s="27" t="n">
        <f aca="false">IF(M207-N207&lt;0.005,0,M207-N207)</f>
        <v>0</v>
      </c>
      <c r="P207" s="27" t="n">
        <f aca="false">MAX(0,IF(N(O206)&lt;=0.005,L207,L207+N('Min gæld'!$E$7)-N207))</f>
        <v>4800</v>
      </c>
      <c r="Q207" s="27" t="n">
        <f aca="false">IF(N(S206)&lt;=0.005,0,N(S206)*(1+N('Min gæld'!$D$8)/12))</f>
        <v>0</v>
      </c>
      <c r="R207" s="27" t="n">
        <f aca="false">IF(Q207&lt;=0,0,MIN(Q207,N('Min gæld'!$E$8)+P207))</f>
        <v>0</v>
      </c>
      <c r="S207" s="27" t="n">
        <f aca="false">IF(Q207-R207&lt;0.005,0,Q207-R207)</f>
        <v>0</v>
      </c>
      <c r="T207" s="27" t="n">
        <f aca="false">MAX(0,IF(N(S206)&lt;=0.005,P207,P207+N('Min gæld'!$E$8)-R207))</f>
        <v>4800</v>
      </c>
      <c r="U207" s="27" t="n">
        <f aca="false">IF(N(W206)&lt;=0.005,0,N(W206)*(1+N('Min gæld'!$D$9)/12))</f>
        <v>0</v>
      </c>
      <c r="V207" s="27" t="n">
        <f aca="false">IF(U207&lt;=0,0,MIN(U207,N('Min gæld'!$E$9)+T207))</f>
        <v>0</v>
      </c>
      <c r="W207" s="27" t="n">
        <f aca="false">IF(U207-V207&lt;0.005,0,U207-V207)</f>
        <v>0</v>
      </c>
      <c r="X207" s="27" t="n">
        <f aca="false">MAX(0,IF(N(W206)&lt;=0.005,T207,T207+N('Min gæld'!$E$9)-V207))</f>
        <v>4800</v>
      </c>
      <c r="Y207" s="27" t="n">
        <f aca="false">IF(N(AA206)&lt;=0.005,0,N(AA206)*(1+N('Min gæld'!$D$10)/12))</f>
        <v>0</v>
      </c>
      <c r="Z207" s="27" t="n">
        <f aca="false">IF(Y207&lt;=0,0,MIN(Y207,N('Min gæld'!$E$10)+X207))</f>
        <v>0</v>
      </c>
      <c r="AA207" s="27" t="n">
        <f aca="false">IF(Y207-Z207&lt;0.005,0,Y207-Z207)</f>
        <v>0</v>
      </c>
      <c r="AB207" s="27" t="n">
        <f aca="false">MAX(0,IF(N(AA206)&lt;=0.005,X207,X207+N('Min gæld'!$E$10)-Z207))</f>
        <v>4800</v>
      </c>
      <c r="AC207" s="27" t="n">
        <f aca="false">IF(N(AE206)&lt;=0.005,0,N(AE206)*(1+N('Min gæld'!$D$11)/12))</f>
        <v>0</v>
      </c>
      <c r="AD207" s="27" t="n">
        <f aca="false">IF(AC207&lt;=0,0,MIN(AC207,N('Min gæld'!$E$11)+AB207))</f>
        <v>0</v>
      </c>
      <c r="AE207" s="27" t="n">
        <f aca="false">IF(AC207-AD207&lt;0.005,0,AC207-AD207)</f>
        <v>0</v>
      </c>
      <c r="AF207" s="27" t="n">
        <f aca="false">MAX(0,IF(N(AE206)&lt;=0.005,AB207,AB207+N('Min gæld'!$E$11)-AD207))</f>
        <v>4800</v>
      </c>
      <c r="AG207" s="27" t="n">
        <f aca="false">IF(N(AI206)&lt;=0.005,0,N(AI206)*(1+N('Min gæld'!$D$12)/12))</f>
        <v>0</v>
      </c>
      <c r="AH207" s="27" t="n">
        <f aca="false">IF(AG207&lt;=0,0,MIN(AG207,N('Min gæld'!$E$12)+AF207))</f>
        <v>0</v>
      </c>
      <c r="AI207" s="27" t="n">
        <f aca="false">IF(AG207-AH207&lt;0.005,0,AG207-AH207)</f>
        <v>0</v>
      </c>
      <c r="AJ207" s="27" t="n">
        <f aca="false">G207+K207+O207+S207+W207+AA207+AE207+AI207</f>
        <v>0</v>
      </c>
      <c r="AK207" s="28" t="n">
        <f aca="false">IF(E207&gt;0,E207-N(G206),0)+IF(I207&gt;0,I207-N(K206),0)+IF(M207&gt;0,M207-N(O206),0)+IF(Q207&gt;0,Q207-N(S206),0)+IF(U207&gt;0,U207-N(W206),0)+IF(Y207&gt;0,Y207-N(AA206),0)+IF(AC207&gt;0,AC207-N(AE206),0)+IF(AG207&gt;0,AG207-N(AI206),0)</f>
        <v>0</v>
      </c>
    </row>
    <row r="208" customFormat="false" ht="15" hidden="false" customHeight="false" outlineLevel="0" collapsed="false">
      <c r="A208" s="25" t="n">
        <v>203</v>
      </c>
      <c r="B208" s="26" t="n">
        <f aca="false">EDATE('Min gæld'!$C$16,202)</f>
        <v>52536</v>
      </c>
      <c r="C208" s="27" t="n">
        <f aca="false">N('Min gæld'!$C$15)+IF(N(G207)&lt;=0.005,N('Min gæld'!$E$5),0)+IF(N(K207)&lt;=0.005,N('Min gæld'!$E$6),0)+IF(N(O207)&lt;=0.005,N('Min gæld'!$E$7),0)+IF(N(S207)&lt;=0.005,N('Min gæld'!$E$8),0)+IF(N(W207)&lt;=0.005,N('Min gæld'!$E$9),0)+IF(N(AA207)&lt;=0.005,N('Min gæld'!$E$10),0)+IF(N(AE207)&lt;=0.005,N('Min gæld'!$E$11),0)+IF(N(AI207)&lt;=0.005,N('Min gæld'!$E$12),0)</f>
        <v>4800</v>
      </c>
      <c r="D208" s="27" t="n">
        <f aca="false">MAX(0,C208)</f>
        <v>4800</v>
      </c>
      <c r="E208" s="27" t="n">
        <f aca="false">IF(N(G207)&lt;=0.005,0,N(G207)*(1+N('Min gæld'!$D$5)/12))</f>
        <v>0</v>
      </c>
      <c r="F208" s="27" t="n">
        <f aca="false">IF(E208&lt;=0,0,MIN(E208,N('Min gæld'!$E$5)+D208))</f>
        <v>0</v>
      </c>
      <c r="G208" s="27" t="n">
        <f aca="false">IF(E208-F208&lt;0.005,0,E208-F208)</f>
        <v>0</v>
      </c>
      <c r="H208" s="27" t="n">
        <f aca="false">MAX(0,IF(N(G207)&lt;=0.005,D208,D208+N('Min gæld'!$E$5)-F208))</f>
        <v>4800</v>
      </c>
      <c r="I208" s="27" t="n">
        <f aca="false">IF(N(K207)&lt;=0.005,0,N(K207)*(1+N('Min gæld'!$D$6)/12))</f>
        <v>0</v>
      </c>
      <c r="J208" s="27" t="n">
        <f aca="false">IF(I208&lt;=0,0,MIN(I208,N('Min gæld'!$E$6)+H208))</f>
        <v>0</v>
      </c>
      <c r="K208" s="27" t="n">
        <f aca="false">IF(I208-J208&lt;0.005,0,I208-J208)</f>
        <v>0</v>
      </c>
      <c r="L208" s="27" t="n">
        <f aca="false">MAX(0,IF(N(K207)&lt;=0.005,H208,H208+N('Min gæld'!$E$6)-J208))</f>
        <v>4800</v>
      </c>
      <c r="M208" s="27" t="n">
        <f aca="false">IF(N(O207)&lt;=0.005,0,N(O207)*(1+N('Min gæld'!$D$7)/12))</f>
        <v>0</v>
      </c>
      <c r="N208" s="27" t="n">
        <f aca="false">IF(M208&lt;=0,0,MIN(M208,N('Min gæld'!$E$7)+L208))</f>
        <v>0</v>
      </c>
      <c r="O208" s="27" t="n">
        <f aca="false">IF(M208-N208&lt;0.005,0,M208-N208)</f>
        <v>0</v>
      </c>
      <c r="P208" s="27" t="n">
        <f aca="false">MAX(0,IF(N(O207)&lt;=0.005,L208,L208+N('Min gæld'!$E$7)-N208))</f>
        <v>4800</v>
      </c>
      <c r="Q208" s="27" t="n">
        <f aca="false">IF(N(S207)&lt;=0.005,0,N(S207)*(1+N('Min gæld'!$D$8)/12))</f>
        <v>0</v>
      </c>
      <c r="R208" s="27" t="n">
        <f aca="false">IF(Q208&lt;=0,0,MIN(Q208,N('Min gæld'!$E$8)+P208))</f>
        <v>0</v>
      </c>
      <c r="S208" s="27" t="n">
        <f aca="false">IF(Q208-R208&lt;0.005,0,Q208-R208)</f>
        <v>0</v>
      </c>
      <c r="T208" s="27" t="n">
        <f aca="false">MAX(0,IF(N(S207)&lt;=0.005,P208,P208+N('Min gæld'!$E$8)-R208))</f>
        <v>4800</v>
      </c>
      <c r="U208" s="27" t="n">
        <f aca="false">IF(N(W207)&lt;=0.005,0,N(W207)*(1+N('Min gæld'!$D$9)/12))</f>
        <v>0</v>
      </c>
      <c r="V208" s="27" t="n">
        <f aca="false">IF(U208&lt;=0,0,MIN(U208,N('Min gæld'!$E$9)+T208))</f>
        <v>0</v>
      </c>
      <c r="W208" s="27" t="n">
        <f aca="false">IF(U208-V208&lt;0.005,0,U208-V208)</f>
        <v>0</v>
      </c>
      <c r="X208" s="27" t="n">
        <f aca="false">MAX(0,IF(N(W207)&lt;=0.005,T208,T208+N('Min gæld'!$E$9)-V208))</f>
        <v>4800</v>
      </c>
      <c r="Y208" s="27" t="n">
        <f aca="false">IF(N(AA207)&lt;=0.005,0,N(AA207)*(1+N('Min gæld'!$D$10)/12))</f>
        <v>0</v>
      </c>
      <c r="Z208" s="27" t="n">
        <f aca="false">IF(Y208&lt;=0,0,MIN(Y208,N('Min gæld'!$E$10)+X208))</f>
        <v>0</v>
      </c>
      <c r="AA208" s="27" t="n">
        <f aca="false">IF(Y208-Z208&lt;0.005,0,Y208-Z208)</f>
        <v>0</v>
      </c>
      <c r="AB208" s="27" t="n">
        <f aca="false">MAX(0,IF(N(AA207)&lt;=0.005,X208,X208+N('Min gæld'!$E$10)-Z208))</f>
        <v>4800</v>
      </c>
      <c r="AC208" s="27" t="n">
        <f aca="false">IF(N(AE207)&lt;=0.005,0,N(AE207)*(1+N('Min gæld'!$D$11)/12))</f>
        <v>0</v>
      </c>
      <c r="AD208" s="27" t="n">
        <f aca="false">IF(AC208&lt;=0,0,MIN(AC208,N('Min gæld'!$E$11)+AB208))</f>
        <v>0</v>
      </c>
      <c r="AE208" s="27" t="n">
        <f aca="false">IF(AC208-AD208&lt;0.005,0,AC208-AD208)</f>
        <v>0</v>
      </c>
      <c r="AF208" s="27" t="n">
        <f aca="false">MAX(0,IF(N(AE207)&lt;=0.005,AB208,AB208+N('Min gæld'!$E$11)-AD208))</f>
        <v>4800</v>
      </c>
      <c r="AG208" s="27" t="n">
        <f aca="false">IF(N(AI207)&lt;=0.005,0,N(AI207)*(1+N('Min gæld'!$D$12)/12))</f>
        <v>0</v>
      </c>
      <c r="AH208" s="27" t="n">
        <f aca="false">IF(AG208&lt;=0,0,MIN(AG208,N('Min gæld'!$E$12)+AF208))</f>
        <v>0</v>
      </c>
      <c r="AI208" s="27" t="n">
        <f aca="false">IF(AG208-AH208&lt;0.005,0,AG208-AH208)</f>
        <v>0</v>
      </c>
      <c r="AJ208" s="27" t="n">
        <f aca="false">G208+K208+O208+S208+W208+AA208+AE208+AI208</f>
        <v>0</v>
      </c>
      <c r="AK208" s="28" t="n">
        <f aca="false">IF(E208&gt;0,E208-N(G207),0)+IF(I208&gt;0,I208-N(K207),0)+IF(M208&gt;0,M208-N(O207),0)+IF(Q208&gt;0,Q208-N(S207),0)+IF(U208&gt;0,U208-N(W207),0)+IF(Y208&gt;0,Y208-N(AA207),0)+IF(AC208&gt;0,AC208-N(AE207),0)+IF(AG208&gt;0,AG208-N(AI207),0)</f>
        <v>0</v>
      </c>
    </row>
    <row r="209" customFormat="false" ht="15" hidden="false" customHeight="false" outlineLevel="0" collapsed="false">
      <c r="A209" s="25" t="n">
        <v>204</v>
      </c>
      <c r="B209" s="26" t="n">
        <f aca="false">EDATE('Min gæld'!$C$16,203)</f>
        <v>52566</v>
      </c>
      <c r="C209" s="27" t="n">
        <f aca="false">N('Min gæld'!$C$15)+IF(N(G208)&lt;=0.005,N('Min gæld'!$E$5),0)+IF(N(K208)&lt;=0.005,N('Min gæld'!$E$6),0)+IF(N(O208)&lt;=0.005,N('Min gæld'!$E$7),0)+IF(N(S208)&lt;=0.005,N('Min gæld'!$E$8),0)+IF(N(W208)&lt;=0.005,N('Min gæld'!$E$9),0)+IF(N(AA208)&lt;=0.005,N('Min gæld'!$E$10),0)+IF(N(AE208)&lt;=0.005,N('Min gæld'!$E$11),0)+IF(N(AI208)&lt;=0.005,N('Min gæld'!$E$12),0)</f>
        <v>4800</v>
      </c>
      <c r="D209" s="27" t="n">
        <f aca="false">MAX(0,C209)</f>
        <v>4800</v>
      </c>
      <c r="E209" s="27" t="n">
        <f aca="false">IF(N(G208)&lt;=0.005,0,N(G208)*(1+N('Min gæld'!$D$5)/12))</f>
        <v>0</v>
      </c>
      <c r="F209" s="27" t="n">
        <f aca="false">IF(E209&lt;=0,0,MIN(E209,N('Min gæld'!$E$5)+D209))</f>
        <v>0</v>
      </c>
      <c r="G209" s="27" t="n">
        <f aca="false">IF(E209-F209&lt;0.005,0,E209-F209)</f>
        <v>0</v>
      </c>
      <c r="H209" s="27" t="n">
        <f aca="false">MAX(0,IF(N(G208)&lt;=0.005,D209,D209+N('Min gæld'!$E$5)-F209))</f>
        <v>4800</v>
      </c>
      <c r="I209" s="27" t="n">
        <f aca="false">IF(N(K208)&lt;=0.005,0,N(K208)*(1+N('Min gæld'!$D$6)/12))</f>
        <v>0</v>
      </c>
      <c r="J209" s="27" t="n">
        <f aca="false">IF(I209&lt;=0,0,MIN(I209,N('Min gæld'!$E$6)+H209))</f>
        <v>0</v>
      </c>
      <c r="K209" s="27" t="n">
        <f aca="false">IF(I209-J209&lt;0.005,0,I209-J209)</f>
        <v>0</v>
      </c>
      <c r="L209" s="27" t="n">
        <f aca="false">MAX(0,IF(N(K208)&lt;=0.005,H209,H209+N('Min gæld'!$E$6)-J209))</f>
        <v>4800</v>
      </c>
      <c r="M209" s="27" t="n">
        <f aca="false">IF(N(O208)&lt;=0.005,0,N(O208)*(1+N('Min gæld'!$D$7)/12))</f>
        <v>0</v>
      </c>
      <c r="N209" s="27" t="n">
        <f aca="false">IF(M209&lt;=0,0,MIN(M209,N('Min gæld'!$E$7)+L209))</f>
        <v>0</v>
      </c>
      <c r="O209" s="27" t="n">
        <f aca="false">IF(M209-N209&lt;0.005,0,M209-N209)</f>
        <v>0</v>
      </c>
      <c r="P209" s="27" t="n">
        <f aca="false">MAX(0,IF(N(O208)&lt;=0.005,L209,L209+N('Min gæld'!$E$7)-N209))</f>
        <v>4800</v>
      </c>
      <c r="Q209" s="27" t="n">
        <f aca="false">IF(N(S208)&lt;=0.005,0,N(S208)*(1+N('Min gæld'!$D$8)/12))</f>
        <v>0</v>
      </c>
      <c r="R209" s="27" t="n">
        <f aca="false">IF(Q209&lt;=0,0,MIN(Q209,N('Min gæld'!$E$8)+P209))</f>
        <v>0</v>
      </c>
      <c r="S209" s="27" t="n">
        <f aca="false">IF(Q209-R209&lt;0.005,0,Q209-R209)</f>
        <v>0</v>
      </c>
      <c r="T209" s="27" t="n">
        <f aca="false">MAX(0,IF(N(S208)&lt;=0.005,P209,P209+N('Min gæld'!$E$8)-R209))</f>
        <v>4800</v>
      </c>
      <c r="U209" s="27" t="n">
        <f aca="false">IF(N(W208)&lt;=0.005,0,N(W208)*(1+N('Min gæld'!$D$9)/12))</f>
        <v>0</v>
      </c>
      <c r="V209" s="27" t="n">
        <f aca="false">IF(U209&lt;=0,0,MIN(U209,N('Min gæld'!$E$9)+T209))</f>
        <v>0</v>
      </c>
      <c r="W209" s="27" t="n">
        <f aca="false">IF(U209-V209&lt;0.005,0,U209-V209)</f>
        <v>0</v>
      </c>
      <c r="X209" s="27" t="n">
        <f aca="false">MAX(0,IF(N(W208)&lt;=0.005,T209,T209+N('Min gæld'!$E$9)-V209))</f>
        <v>4800</v>
      </c>
      <c r="Y209" s="27" t="n">
        <f aca="false">IF(N(AA208)&lt;=0.005,0,N(AA208)*(1+N('Min gæld'!$D$10)/12))</f>
        <v>0</v>
      </c>
      <c r="Z209" s="27" t="n">
        <f aca="false">IF(Y209&lt;=0,0,MIN(Y209,N('Min gæld'!$E$10)+X209))</f>
        <v>0</v>
      </c>
      <c r="AA209" s="27" t="n">
        <f aca="false">IF(Y209-Z209&lt;0.005,0,Y209-Z209)</f>
        <v>0</v>
      </c>
      <c r="AB209" s="27" t="n">
        <f aca="false">MAX(0,IF(N(AA208)&lt;=0.005,X209,X209+N('Min gæld'!$E$10)-Z209))</f>
        <v>4800</v>
      </c>
      <c r="AC209" s="27" t="n">
        <f aca="false">IF(N(AE208)&lt;=0.005,0,N(AE208)*(1+N('Min gæld'!$D$11)/12))</f>
        <v>0</v>
      </c>
      <c r="AD209" s="27" t="n">
        <f aca="false">IF(AC209&lt;=0,0,MIN(AC209,N('Min gæld'!$E$11)+AB209))</f>
        <v>0</v>
      </c>
      <c r="AE209" s="27" t="n">
        <f aca="false">IF(AC209-AD209&lt;0.005,0,AC209-AD209)</f>
        <v>0</v>
      </c>
      <c r="AF209" s="27" t="n">
        <f aca="false">MAX(0,IF(N(AE208)&lt;=0.005,AB209,AB209+N('Min gæld'!$E$11)-AD209))</f>
        <v>4800</v>
      </c>
      <c r="AG209" s="27" t="n">
        <f aca="false">IF(N(AI208)&lt;=0.005,0,N(AI208)*(1+N('Min gæld'!$D$12)/12))</f>
        <v>0</v>
      </c>
      <c r="AH209" s="27" t="n">
        <f aca="false">IF(AG209&lt;=0,0,MIN(AG209,N('Min gæld'!$E$12)+AF209))</f>
        <v>0</v>
      </c>
      <c r="AI209" s="27" t="n">
        <f aca="false">IF(AG209-AH209&lt;0.005,0,AG209-AH209)</f>
        <v>0</v>
      </c>
      <c r="AJ209" s="27" t="n">
        <f aca="false">G209+K209+O209+S209+W209+AA209+AE209+AI209</f>
        <v>0</v>
      </c>
      <c r="AK209" s="28" t="n">
        <f aca="false">IF(E209&gt;0,E209-N(G208),0)+IF(I209&gt;0,I209-N(K208),0)+IF(M209&gt;0,M209-N(O208),0)+IF(Q209&gt;0,Q209-N(S208),0)+IF(U209&gt;0,U209-N(W208),0)+IF(Y209&gt;0,Y209-N(AA208),0)+IF(AC209&gt;0,AC209-N(AE208),0)+IF(AG209&gt;0,AG209-N(AI208),0)</f>
        <v>0</v>
      </c>
    </row>
    <row r="210" customFormat="false" ht="15" hidden="false" customHeight="false" outlineLevel="0" collapsed="false">
      <c r="A210" s="25" t="n">
        <v>205</v>
      </c>
      <c r="B210" s="26" t="n">
        <f aca="false">EDATE('Min gæld'!$C$16,204)</f>
        <v>52597</v>
      </c>
      <c r="C210" s="27" t="n">
        <f aca="false">N('Min gæld'!$C$15)+IF(N(G209)&lt;=0.005,N('Min gæld'!$E$5),0)+IF(N(K209)&lt;=0.005,N('Min gæld'!$E$6),0)+IF(N(O209)&lt;=0.005,N('Min gæld'!$E$7),0)+IF(N(S209)&lt;=0.005,N('Min gæld'!$E$8),0)+IF(N(W209)&lt;=0.005,N('Min gæld'!$E$9),0)+IF(N(AA209)&lt;=0.005,N('Min gæld'!$E$10),0)+IF(N(AE209)&lt;=0.005,N('Min gæld'!$E$11),0)+IF(N(AI209)&lt;=0.005,N('Min gæld'!$E$12),0)</f>
        <v>4800</v>
      </c>
      <c r="D210" s="27" t="n">
        <f aca="false">MAX(0,C210)</f>
        <v>4800</v>
      </c>
      <c r="E210" s="27" t="n">
        <f aca="false">IF(N(G209)&lt;=0.005,0,N(G209)*(1+N('Min gæld'!$D$5)/12))</f>
        <v>0</v>
      </c>
      <c r="F210" s="27" t="n">
        <f aca="false">IF(E210&lt;=0,0,MIN(E210,N('Min gæld'!$E$5)+D210))</f>
        <v>0</v>
      </c>
      <c r="G210" s="27" t="n">
        <f aca="false">IF(E210-F210&lt;0.005,0,E210-F210)</f>
        <v>0</v>
      </c>
      <c r="H210" s="27" t="n">
        <f aca="false">MAX(0,IF(N(G209)&lt;=0.005,D210,D210+N('Min gæld'!$E$5)-F210))</f>
        <v>4800</v>
      </c>
      <c r="I210" s="27" t="n">
        <f aca="false">IF(N(K209)&lt;=0.005,0,N(K209)*(1+N('Min gæld'!$D$6)/12))</f>
        <v>0</v>
      </c>
      <c r="J210" s="27" t="n">
        <f aca="false">IF(I210&lt;=0,0,MIN(I210,N('Min gæld'!$E$6)+H210))</f>
        <v>0</v>
      </c>
      <c r="K210" s="27" t="n">
        <f aca="false">IF(I210-J210&lt;0.005,0,I210-J210)</f>
        <v>0</v>
      </c>
      <c r="L210" s="27" t="n">
        <f aca="false">MAX(0,IF(N(K209)&lt;=0.005,H210,H210+N('Min gæld'!$E$6)-J210))</f>
        <v>4800</v>
      </c>
      <c r="M210" s="27" t="n">
        <f aca="false">IF(N(O209)&lt;=0.005,0,N(O209)*(1+N('Min gæld'!$D$7)/12))</f>
        <v>0</v>
      </c>
      <c r="N210" s="27" t="n">
        <f aca="false">IF(M210&lt;=0,0,MIN(M210,N('Min gæld'!$E$7)+L210))</f>
        <v>0</v>
      </c>
      <c r="O210" s="27" t="n">
        <f aca="false">IF(M210-N210&lt;0.005,0,M210-N210)</f>
        <v>0</v>
      </c>
      <c r="P210" s="27" t="n">
        <f aca="false">MAX(0,IF(N(O209)&lt;=0.005,L210,L210+N('Min gæld'!$E$7)-N210))</f>
        <v>4800</v>
      </c>
      <c r="Q210" s="27" t="n">
        <f aca="false">IF(N(S209)&lt;=0.005,0,N(S209)*(1+N('Min gæld'!$D$8)/12))</f>
        <v>0</v>
      </c>
      <c r="R210" s="27" t="n">
        <f aca="false">IF(Q210&lt;=0,0,MIN(Q210,N('Min gæld'!$E$8)+P210))</f>
        <v>0</v>
      </c>
      <c r="S210" s="27" t="n">
        <f aca="false">IF(Q210-R210&lt;0.005,0,Q210-R210)</f>
        <v>0</v>
      </c>
      <c r="T210" s="27" t="n">
        <f aca="false">MAX(0,IF(N(S209)&lt;=0.005,P210,P210+N('Min gæld'!$E$8)-R210))</f>
        <v>4800</v>
      </c>
      <c r="U210" s="27" t="n">
        <f aca="false">IF(N(W209)&lt;=0.005,0,N(W209)*(1+N('Min gæld'!$D$9)/12))</f>
        <v>0</v>
      </c>
      <c r="V210" s="27" t="n">
        <f aca="false">IF(U210&lt;=0,0,MIN(U210,N('Min gæld'!$E$9)+T210))</f>
        <v>0</v>
      </c>
      <c r="W210" s="27" t="n">
        <f aca="false">IF(U210-V210&lt;0.005,0,U210-V210)</f>
        <v>0</v>
      </c>
      <c r="X210" s="27" t="n">
        <f aca="false">MAX(0,IF(N(W209)&lt;=0.005,T210,T210+N('Min gæld'!$E$9)-V210))</f>
        <v>4800</v>
      </c>
      <c r="Y210" s="27" t="n">
        <f aca="false">IF(N(AA209)&lt;=0.005,0,N(AA209)*(1+N('Min gæld'!$D$10)/12))</f>
        <v>0</v>
      </c>
      <c r="Z210" s="27" t="n">
        <f aca="false">IF(Y210&lt;=0,0,MIN(Y210,N('Min gæld'!$E$10)+X210))</f>
        <v>0</v>
      </c>
      <c r="AA210" s="27" t="n">
        <f aca="false">IF(Y210-Z210&lt;0.005,0,Y210-Z210)</f>
        <v>0</v>
      </c>
      <c r="AB210" s="27" t="n">
        <f aca="false">MAX(0,IF(N(AA209)&lt;=0.005,X210,X210+N('Min gæld'!$E$10)-Z210))</f>
        <v>4800</v>
      </c>
      <c r="AC210" s="27" t="n">
        <f aca="false">IF(N(AE209)&lt;=0.005,0,N(AE209)*(1+N('Min gæld'!$D$11)/12))</f>
        <v>0</v>
      </c>
      <c r="AD210" s="27" t="n">
        <f aca="false">IF(AC210&lt;=0,0,MIN(AC210,N('Min gæld'!$E$11)+AB210))</f>
        <v>0</v>
      </c>
      <c r="AE210" s="27" t="n">
        <f aca="false">IF(AC210-AD210&lt;0.005,0,AC210-AD210)</f>
        <v>0</v>
      </c>
      <c r="AF210" s="27" t="n">
        <f aca="false">MAX(0,IF(N(AE209)&lt;=0.005,AB210,AB210+N('Min gæld'!$E$11)-AD210))</f>
        <v>4800</v>
      </c>
      <c r="AG210" s="27" t="n">
        <f aca="false">IF(N(AI209)&lt;=0.005,0,N(AI209)*(1+N('Min gæld'!$D$12)/12))</f>
        <v>0</v>
      </c>
      <c r="AH210" s="27" t="n">
        <f aca="false">IF(AG210&lt;=0,0,MIN(AG210,N('Min gæld'!$E$12)+AF210))</f>
        <v>0</v>
      </c>
      <c r="AI210" s="27" t="n">
        <f aca="false">IF(AG210-AH210&lt;0.005,0,AG210-AH210)</f>
        <v>0</v>
      </c>
      <c r="AJ210" s="27" t="n">
        <f aca="false">G210+K210+O210+S210+W210+AA210+AE210+AI210</f>
        <v>0</v>
      </c>
      <c r="AK210" s="28" t="n">
        <f aca="false">IF(E210&gt;0,E210-N(G209),0)+IF(I210&gt;0,I210-N(K209),0)+IF(M210&gt;0,M210-N(O209),0)+IF(Q210&gt;0,Q210-N(S209),0)+IF(U210&gt;0,U210-N(W209),0)+IF(Y210&gt;0,Y210-N(AA209),0)+IF(AC210&gt;0,AC210-N(AE209),0)+IF(AG210&gt;0,AG210-N(AI209),0)</f>
        <v>0</v>
      </c>
    </row>
    <row r="211" customFormat="false" ht="15" hidden="false" customHeight="false" outlineLevel="0" collapsed="false">
      <c r="A211" s="25" t="n">
        <v>206</v>
      </c>
      <c r="B211" s="26" t="n">
        <f aca="false">EDATE('Min gæld'!$C$16,205)</f>
        <v>52628</v>
      </c>
      <c r="C211" s="27" t="n">
        <f aca="false">N('Min gæld'!$C$15)+IF(N(G210)&lt;=0.005,N('Min gæld'!$E$5),0)+IF(N(K210)&lt;=0.005,N('Min gæld'!$E$6),0)+IF(N(O210)&lt;=0.005,N('Min gæld'!$E$7),0)+IF(N(S210)&lt;=0.005,N('Min gæld'!$E$8),0)+IF(N(W210)&lt;=0.005,N('Min gæld'!$E$9),0)+IF(N(AA210)&lt;=0.005,N('Min gæld'!$E$10),0)+IF(N(AE210)&lt;=0.005,N('Min gæld'!$E$11),0)+IF(N(AI210)&lt;=0.005,N('Min gæld'!$E$12),0)</f>
        <v>4800</v>
      </c>
      <c r="D211" s="27" t="n">
        <f aca="false">MAX(0,C211)</f>
        <v>4800</v>
      </c>
      <c r="E211" s="27" t="n">
        <f aca="false">IF(N(G210)&lt;=0.005,0,N(G210)*(1+N('Min gæld'!$D$5)/12))</f>
        <v>0</v>
      </c>
      <c r="F211" s="27" t="n">
        <f aca="false">IF(E211&lt;=0,0,MIN(E211,N('Min gæld'!$E$5)+D211))</f>
        <v>0</v>
      </c>
      <c r="G211" s="27" t="n">
        <f aca="false">IF(E211-F211&lt;0.005,0,E211-F211)</f>
        <v>0</v>
      </c>
      <c r="H211" s="27" t="n">
        <f aca="false">MAX(0,IF(N(G210)&lt;=0.005,D211,D211+N('Min gæld'!$E$5)-F211))</f>
        <v>4800</v>
      </c>
      <c r="I211" s="27" t="n">
        <f aca="false">IF(N(K210)&lt;=0.005,0,N(K210)*(1+N('Min gæld'!$D$6)/12))</f>
        <v>0</v>
      </c>
      <c r="J211" s="27" t="n">
        <f aca="false">IF(I211&lt;=0,0,MIN(I211,N('Min gæld'!$E$6)+H211))</f>
        <v>0</v>
      </c>
      <c r="K211" s="27" t="n">
        <f aca="false">IF(I211-J211&lt;0.005,0,I211-J211)</f>
        <v>0</v>
      </c>
      <c r="L211" s="27" t="n">
        <f aca="false">MAX(0,IF(N(K210)&lt;=0.005,H211,H211+N('Min gæld'!$E$6)-J211))</f>
        <v>4800</v>
      </c>
      <c r="M211" s="27" t="n">
        <f aca="false">IF(N(O210)&lt;=0.005,0,N(O210)*(1+N('Min gæld'!$D$7)/12))</f>
        <v>0</v>
      </c>
      <c r="N211" s="27" t="n">
        <f aca="false">IF(M211&lt;=0,0,MIN(M211,N('Min gæld'!$E$7)+L211))</f>
        <v>0</v>
      </c>
      <c r="O211" s="27" t="n">
        <f aca="false">IF(M211-N211&lt;0.005,0,M211-N211)</f>
        <v>0</v>
      </c>
      <c r="P211" s="27" t="n">
        <f aca="false">MAX(0,IF(N(O210)&lt;=0.005,L211,L211+N('Min gæld'!$E$7)-N211))</f>
        <v>4800</v>
      </c>
      <c r="Q211" s="27" t="n">
        <f aca="false">IF(N(S210)&lt;=0.005,0,N(S210)*(1+N('Min gæld'!$D$8)/12))</f>
        <v>0</v>
      </c>
      <c r="R211" s="27" t="n">
        <f aca="false">IF(Q211&lt;=0,0,MIN(Q211,N('Min gæld'!$E$8)+P211))</f>
        <v>0</v>
      </c>
      <c r="S211" s="27" t="n">
        <f aca="false">IF(Q211-R211&lt;0.005,0,Q211-R211)</f>
        <v>0</v>
      </c>
      <c r="T211" s="27" t="n">
        <f aca="false">MAX(0,IF(N(S210)&lt;=0.005,P211,P211+N('Min gæld'!$E$8)-R211))</f>
        <v>4800</v>
      </c>
      <c r="U211" s="27" t="n">
        <f aca="false">IF(N(W210)&lt;=0.005,0,N(W210)*(1+N('Min gæld'!$D$9)/12))</f>
        <v>0</v>
      </c>
      <c r="V211" s="27" t="n">
        <f aca="false">IF(U211&lt;=0,0,MIN(U211,N('Min gæld'!$E$9)+T211))</f>
        <v>0</v>
      </c>
      <c r="W211" s="27" t="n">
        <f aca="false">IF(U211-V211&lt;0.005,0,U211-V211)</f>
        <v>0</v>
      </c>
      <c r="X211" s="27" t="n">
        <f aca="false">MAX(0,IF(N(W210)&lt;=0.005,T211,T211+N('Min gæld'!$E$9)-V211))</f>
        <v>4800</v>
      </c>
      <c r="Y211" s="27" t="n">
        <f aca="false">IF(N(AA210)&lt;=0.005,0,N(AA210)*(1+N('Min gæld'!$D$10)/12))</f>
        <v>0</v>
      </c>
      <c r="Z211" s="27" t="n">
        <f aca="false">IF(Y211&lt;=0,0,MIN(Y211,N('Min gæld'!$E$10)+X211))</f>
        <v>0</v>
      </c>
      <c r="AA211" s="27" t="n">
        <f aca="false">IF(Y211-Z211&lt;0.005,0,Y211-Z211)</f>
        <v>0</v>
      </c>
      <c r="AB211" s="27" t="n">
        <f aca="false">MAX(0,IF(N(AA210)&lt;=0.005,X211,X211+N('Min gæld'!$E$10)-Z211))</f>
        <v>4800</v>
      </c>
      <c r="AC211" s="27" t="n">
        <f aca="false">IF(N(AE210)&lt;=0.005,0,N(AE210)*(1+N('Min gæld'!$D$11)/12))</f>
        <v>0</v>
      </c>
      <c r="AD211" s="27" t="n">
        <f aca="false">IF(AC211&lt;=0,0,MIN(AC211,N('Min gæld'!$E$11)+AB211))</f>
        <v>0</v>
      </c>
      <c r="AE211" s="27" t="n">
        <f aca="false">IF(AC211-AD211&lt;0.005,0,AC211-AD211)</f>
        <v>0</v>
      </c>
      <c r="AF211" s="27" t="n">
        <f aca="false">MAX(0,IF(N(AE210)&lt;=0.005,AB211,AB211+N('Min gæld'!$E$11)-AD211))</f>
        <v>4800</v>
      </c>
      <c r="AG211" s="27" t="n">
        <f aca="false">IF(N(AI210)&lt;=0.005,0,N(AI210)*(1+N('Min gæld'!$D$12)/12))</f>
        <v>0</v>
      </c>
      <c r="AH211" s="27" t="n">
        <f aca="false">IF(AG211&lt;=0,0,MIN(AG211,N('Min gæld'!$E$12)+AF211))</f>
        <v>0</v>
      </c>
      <c r="AI211" s="27" t="n">
        <f aca="false">IF(AG211-AH211&lt;0.005,0,AG211-AH211)</f>
        <v>0</v>
      </c>
      <c r="AJ211" s="27" t="n">
        <f aca="false">G211+K211+O211+S211+W211+AA211+AE211+AI211</f>
        <v>0</v>
      </c>
      <c r="AK211" s="28" t="n">
        <f aca="false">IF(E211&gt;0,E211-N(G210),0)+IF(I211&gt;0,I211-N(K210),0)+IF(M211&gt;0,M211-N(O210),0)+IF(Q211&gt;0,Q211-N(S210),0)+IF(U211&gt;0,U211-N(W210),0)+IF(Y211&gt;0,Y211-N(AA210),0)+IF(AC211&gt;0,AC211-N(AE210),0)+IF(AG211&gt;0,AG211-N(AI210),0)</f>
        <v>0</v>
      </c>
    </row>
    <row r="212" customFormat="false" ht="15" hidden="false" customHeight="false" outlineLevel="0" collapsed="false">
      <c r="A212" s="25" t="n">
        <v>207</v>
      </c>
      <c r="B212" s="26" t="n">
        <f aca="false">EDATE('Min gæld'!$C$16,206)</f>
        <v>52657</v>
      </c>
      <c r="C212" s="27" t="n">
        <f aca="false">N('Min gæld'!$C$15)+IF(N(G211)&lt;=0.005,N('Min gæld'!$E$5),0)+IF(N(K211)&lt;=0.005,N('Min gæld'!$E$6),0)+IF(N(O211)&lt;=0.005,N('Min gæld'!$E$7),0)+IF(N(S211)&lt;=0.005,N('Min gæld'!$E$8),0)+IF(N(W211)&lt;=0.005,N('Min gæld'!$E$9),0)+IF(N(AA211)&lt;=0.005,N('Min gæld'!$E$10),0)+IF(N(AE211)&lt;=0.005,N('Min gæld'!$E$11),0)+IF(N(AI211)&lt;=0.005,N('Min gæld'!$E$12),0)</f>
        <v>4800</v>
      </c>
      <c r="D212" s="27" t="n">
        <f aca="false">MAX(0,C212)</f>
        <v>4800</v>
      </c>
      <c r="E212" s="27" t="n">
        <f aca="false">IF(N(G211)&lt;=0.005,0,N(G211)*(1+N('Min gæld'!$D$5)/12))</f>
        <v>0</v>
      </c>
      <c r="F212" s="27" t="n">
        <f aca="false">IF(E212&lt;=0,0,MIN(E212,N('Min gæld'!$E$5)+D212))</f>
        <v>0</v>
      </c>
      <c r="G212" s="27" t="n">
        <f aca="false">IF(E212-F212&lt;0.005,0,E212-F212)</f>
        <v>0</v>
      </c>
      <c r="H212" s="27" t="n">
        <f aca="false">MAX(0,IF(N(G211)&lt;=0.005,D212,D212+N('Min gæld'!$E$5)-F212))</f>
        <v>4800</v>
      </c>
      <c r="I212" s="27" t="n">
        <f aca="false">IF(N(K211)&lt;=0.005,0,N(K211)*(1+N('Min gæld'!$D$6)/12))</f>
        <v>0</v>
      </c>
      <c r="J212" s="27" t="n">
        <f aca="false">IF(I212&lt;=0,0,MIN(I212,N('Min gæld'!$E$6)+H212))</f>
        <v>0</v>
      </c>
      <c r="K212" s="27" t="n">
        <f aca="false">IF(I212-J212&lt;0.005,0,I212-J212)</f>
        <v>0</v>
      </c>
      <c r="L212" s="27" t="n">
        <f aca="false">MAX(0,IF(N(K211)&lt;=0.005,H212,H212+N('Min gæld'!$E$6)-J212))</f>
        <v>4800</v>
      </c>
      <c r="M212" s="27" t="n">
        <f aca="false">IF(N(O211)&lt;=0.005,0,N(O211)*(1+N('Min gæld'!$D$7)/12))</f>
        <v>0</v>
      </c>
      <c r="N212" s="27" t="n">
        <f aca="false">IF(M212&lt;=0,0,MIN(M212,N('Min gæld'!$E$7)+L212))</f>
        <v>0</v>
      </c>
      <c r="O212" s="27" t="n">
        <f aca="false">IF(M212-N212&lt;0.005,0,M212-N212)</f>
        <v>0</v>
      </c>
      <c r="P212" s="27" t="n">
        <f aca="false">MAX(0,IF(N(O211)&lt;=0.005,L212,L212+N('Min gæld'!$E$7)-N212))</f>
        <v>4800</v>
      </c>
      <c r="Q212" s="27" t="n">
        <f aca="false">IF(N(S211)&lt;=0.005,0,N(S211)*(1+N('Min gæld'!$D$8)/12))</f>
        <v>0</v>
      </c>
      <c r="R212" s="27" t="n">
        <f aca="false">IF(Q212&lt;=0,0,MIN(Q212,N('Min gæld'!$E$8)+P212))</f>
        <v>0</v>
      </c>
      <c r="S212" s="27" t="n">
        <f aca="false">IF(Q212-R212&lt;0.005,0,Q212-R212)</f>
        <v>0</v>
      </c>
      <c r="T212" s="27" t="n">
        <f aca="false">MAX(0,IF(N(S211)&lt;=0.005,P212,P212+N('Min gæld'!$E$8)-R212))</f>
        <v>4800</v>
      </c>
      <c r="U212" s="27" t="n">
        <f aca="false">IF(N(W211)&lt;=0.005,0,N(W211)*(1+N('Min gæld'!$D$9)/12))</f>
        <v>0</v>
      </c>
      <c r="V212" s="27" t="n">
        <f aca="false">IF(U212&lt;=0,0,MIN(U212,N('Min gæld'!$E$9)+T212))</f>
        <v>0</v>
      </c>
      <c r="W212" s="27" t="n">
        <f aca="false">IF(U212-V212&lt;0.005,0,U212-V212)</f>
        <v>0</v>
      </c>
      <c r="X212" s="27" t="n">
        <f aca="false">MAX(0,IF(N(W211)&lt;=0.005,T212,T212+N('Min gæld'!$E$9)-V212))</f>
        <v>4800</v>
      </c>
      <c r="Y212" s="27" t="n">
        <f aca="false">IF(N(AA211)&lt;=0.005,0,N(AA211)*(1+N('Min gæld'!$D$10)/12))</f>
        <v>0</v>
      </c>
      <c r="Z212" s="27" t="n">
        <f aca="false">IF(Y212&lt;=0,0,MIN(Y212,N('Min gæld'!$E$10)+X212))</f>
        <v>0</v>
      </c>
      <c r="AA212" s="27" t="n">
        <f aca="false">IF(Y212-Z212&lt;0.005,0,Y212-Z212)</f>
        <v>0</v>
      </c>
      <c r="AB212" s="27" t="n">
        <f aca="false">MAX(0,IF(N(AA211)&lt;=0.005,X212,X212+N('Min gæld'!$E$10)-Z212))</f>
        <v>4800</v>
      </c>
      <c r="AC212" s="27" t="n">
        <f aca="false">IF(N(AE211)&lt;=0.005,0,N(AE211)*(1+N('Min gæld'!$D$11)/12))</f>
        <v>0</v>
      </c>
      <c r="AD212" s="27" t="n">
        <f aca="false">IF(AC212&lt;=0,0,MIN(AC212,N('Min gæld'!$E$11)+AB212))</f>
        <v>0</v>
      </c>
      <c r="AE212" s="27" t="n">
        <f aca="false">IF(AC212-AD212&lt;0.005,0,AC212-AD212)</f>
        <v>0</v>
      </c>
      <c r="AF212" s="27" t="n">
        <f aca="false">MAX(0,IF(N(AE211)&lt;=0.005,AB212,AB212+N('Min gæld'!$E$11)-AD212))</f>
        <v>4800</v>
      </c>
      <c r="AG212" s="27" t="n">
        <f aca="false">IF(N(AI211)&lt;=0.005,0,N(AI211)*(1+N('Min gæld'!$D$12)/12))</f>
        <v>0</v>
      </c>
      <c r="AH212" s="27" t="n">
        <f aca="false">IF(AG212&lt;=0,0,MIN(AG212,N('Min gæld'!$E$12)+AF212))</f>
        <v>0</v>
      </c>
      <c r="AI212" s="27" t="n">
        <f aca="false">IF(AG212-AH212&lt;0.005,0,AG212-AH212)</f>
        <v>0</v>
      </c>
      <c r="AJ212" s="27" t="n">
        <f aca="false">G212+K212+O212+S212+W212+AA212+AE212+AI212</f>
        <v>0</v>
      </c>
      <c r="AK212" s="28" t="n">
        <f aca="false">IF(E212&gt;0,E212-N(G211),0)+IF(I212&gt;0,I212-N(K211),0)+IF(M212&gt;0,M212-N(O211),0)+IF(Q212&gt;0,Q212-N(S211),0)+IF(U212&gt;0,U212-N(W211),0)+IF(Y212&gt;0,Y212-N(AA211),0)+IF(AC212&gt;0,AC212-N(AE211),0)+IF(AG212&gt;0,AG212-N(AI211),0)</f>
        <v>0</v>
      </c>
    </row>
    <row r="213" customFormat="false" ht="15" hidden="false" customHeight="false" outlineLevel="0" collapsed="false">
      <c r="A213" s="25" t="n">
        <v>208</v>
      </c>
      <c r="B213" s="26" t="n">
        <f aca="false">EDATE('Min gæld'!$C$16,207)</f>
        <v>52688</v>
      </c>
      <c r="C213" s="27" t="n">
        <f aca="false">N('Min gæld'!$C$15)+IF(N(G212)&lt;=0.005,N('Min gæld'!$E$5),0)+IF(N(K212)&lt;=0.005,N('Min gæld'!$E$6),0)+IF(N(O212)&lt;=0.005,N('Min gæld'!$E$7),0)+IF(N(S212)&lt;=0.005,N('Min gæld'!$E$8),0)+IF(N(W212)&lt;=0.005,N('Min gæld'!$E$9),0)+IF(N(AA212)&lt;=0.005,N('Min gæld'!$E$10),0)+IF(N(AE212)&lt;=0.005,N('Min gæld'!$E$11),0)+IF(N(AI212)&lt;=0.005,N('Min gæld'!$E$12),0)</f>
        <v>4800</v>
      </c>
      <c r="D213" s="27" t="n">
        <f aca="false">MAX(0,C213)</f>
        <v>4800</v>
      </c>
      <c r="E213" s="27" t="n">
        <f aca="false">IF(N(G212)&lt;=0.005,0,N(G212)*(1+N('Min gæld'!$D$5)/12))</f>
        <v>0</v>
      </c>
      <c r="F213" s="27" t="n">
        <f aca="false">IF(E213&lt;=0,0,MIN(E213,N('Min gæld'!$E$5)+D213))</f>
        <v>0</v>
      </c>
      <c r="G213" s="27" t="n">
        <f aca="false">IF(E213-F213&lt;0.005,0,E213-F213)</f>
        <v>0</v>
      </c>
      <c r="H213" s="27" t="n">
        <f aca="false">MAX(0,IF(N(G212)&lt;=0.005,D213,D213+N('Min gæld'!$E$5)-F213))</f>
        <v>4800</v>
      </c>
      <c r="I213" s="27" t="n">
        <f aca="false">IF(N(K212)&lt;=0.005,0,N(K212)*(1+N('Min gæld'!$D$6)/12))</f>
        <v>0</v>
      </c>
      <c r="J213" s="27" t="n">
        <f aca="false">IF(I213&lt;=0,0,MIN(I213,N('Min gæld'!$E$6)+H213))</f>
        <v>0</v>
      </c>
      <c r="K213" s="27" t="n">
        <f aca="false">IF(I213-J213&lt;0.005,0,I213-J213)</f>
        <v>0</v>
      </c>
      <c r="L213" s="27" t="n">
        <f aca="false">MAX(0,IF(N(K212)&lt;=0.005,H213,H213+N('Min gæld'!$E$6)-J213))</f>
        <v>4800</v>
      </c>
      <c r="M213" s="27" t="n">
        <f aca="false">IF(N(O212)&lt;=0.005,0,N(O212)*(1+N('Min gæld'!$D$7)/12))</f>
        <v>0</v>
      </c>
      <c r="N213" s="27" t="n">
        <f aca="false">IF(M213&lt;=0,0,MIN(M213,N('Min gæld'!$E$7)+L213))</f>
        <v>0</v>
      </c>
      <c r="O213" s="27" t="n">
        <f aca="false">IF(M213-N213&lt;0.005,0,M213-N213)</f>
        <v>0</v>
      </c>
      <c r="P213" s="27" t="n">
        <f aca="false">MAX(0,IF(N(O212)&lt;=0.005,L213,L213+N('Min gæld'!$E$7)-N213))</f>
        <v>4800</v>
      </c>
      <c r="Q213" s="27" t="n">
        <f aca="false">IF(N(S212)&lt;=0.005,0,N(S212)*(1+N('Min gæld'!$D$8)/12))</f>
        <v>0</v>
      </c>
      <c r="R213" s="27" t="n">
        <f aca="false">IF(Q213&lt;=0,0,MIN(Q213,N('Min gæld'!$E$8)+P213))</f>
        <v>0</v>
      </c>
      <c r="S213" s="27" t="n">
        <f aca="false">IF(Q213-R213&lt;0.005,0,Q213-R213)</f>
        <v>0</v>
      </c>
      <c r="T213" s="27" t="n">
        <f aca="false">MAX(0,IF(N(S212)&lt;=0.005,P213,P213+N('Min gæld'!$E$8)-R213))</f>
        <v>4800</v>
      </c>
      <c r="U213" s="27" t="n">
        <f aca="false">IF(N(W212)&lt;=0.005,0,N(W212)*(1+N('Min gæld'!$D$9)/12))</f>
        <v>0</v>
      </c>
      <c r="V213" s="27" t="n">
        <f aca="false">IF(U213&lt;=0,0,MIN(U213,N('Min gæld'!$E$9)+T213))</f>
        <v>0</v>
      </c>
      <c r="W213" s="27" t="n">
        <f aca="false">IF(U213-V213&lt;0.005,0,U213-V213)</f>
        <v>0</v>
      </c>
      <c r="X213" s="27" t="n">
        <f aca="false">MAX(0,IF(N(W212)&lt;=0.005,T213,T213+N('Min gæld'!$E$9)-V213))</f>
        <v>4800</v>
      </c>
      <c r="Y213" s="27" t="n">
        <f aca="false">IF(N(AA212)&lt;=0.005,0,N(AA212)*(1+N('Min gæld'!$D$10)/12))</f>
        <v>0</v>
      </c>
      <c r="Z213" s="27" t="n">
        <f aca="false">IF(Y213&lt;=0,0,MIN(Y213,N('Min gæld'!$E$10)+X213))</f>
        <v>0</v>
      </c>
      <c r="AA213" s="27" t="n">
        <f aca="false">IF(Y213-Z213&lt;0.005,0,Y213-Z213)</f>
        <v>0</v>
      </c>
      <c r="AB213" s="27" t="n">
        <f aca="false">MAX(0,IF(N(AA212)&lt;=0.005,X213,X213+N('Min gæld'!$E$10)-Z213))</f>
        <v>4800</v>
      </c>
      <c r="AC213" s="27" t="n">
        <f aca="false">IF(N(AE212)&lt;=0.005,0,N(AE212)*(1+N('Min gæld'!$D$11)/12))</f>
        <v>0</v>
      </c>
      <c r="AD213" s="27" t="n">
        <f aca="false">IF(AC213&lt;=0,0,MIN(AC213,N('Min gæld'!$E$11)+AB213))</f>
        <v>0</v>
      </c>
      <c r="AE213" s="27" t="n">
        <f aca="false">IF(AC213-AD213&lt;0.005,0,AC213-AD213)</f>
        <v>0</v>
      </c>
      <c r="AF213" s="27" t="n">
        <f aca="false">MAX(0,IF(N(AE212)&lt;=0.005,AB213,AB213+N('Min gæld'!$E$11)-AD213))</f>
        <v>4800</v>
      </c>
      <c r="AG213" s="27" t="n">
        <f aca="false">IF(N(AI212)&lt;=0.005,0,N(AI212)*(1+N('Min gæld'!$D$12)/12))</f>
        <v>0</v>
      </c>
      <c r="AH213" s="27" t="n">
        <f aca="false">IF(AG213&lt;=0,0,MIN(AG213,N('Min gæld'!$E$12)+AF213))</f>
        <v>0</v>
      </c>
      <c r="AI213" s="27" t="n">
        <f aca="false">IF(AG213-AH213&lt;0.005,0,AG213-AH213)</f>
        <v>0</v>
      </c>
      <c r="AJ213" s="27" t="n">
        <f aca="false">G213+K213+O213+S213+W213+AA213+AE213+AI213</f>
        <v>0</v>
      </c>
      <c r="AK213" s="28" t="n">
        <f aca="false">IF(E213&gt;0,E213-N(G212),0)+IF(I213&gt;0,I213-N(K212),0)+IF(M213&gt;0,M213-N(O212),0)+IF(Q213&gt;0,Q213-N(S212),0)+IF(U213&gt;0,U213-N(W212),0)+IF(Y213&gt;0,Y213-N(AA212),0)+IF(AC213&gt;0,AC213-N(AE212),0)+IF(AG213&gt;0,AG213-N(AI212),0)</f>
        <v>0</v>
      </c>
    </row>
    <row r="214" customFormat="false" ht="15" hidden="false" customHeight="false" outlineLevel="0" collapsed="false">
      <c r="A214" s="25" t="n">
        <v>209</v>
      </c>
      <c r="B214" s="26" t="n">
        <f aca="false">EDATE('Min gæld'!$C$16,208)</f>
        <v>52718</v>
      </c>
      <c r="C214" s="27" t="n">
        <f aca="false">N('Min gæld'!$C$15)+IF(N(G213)&lt;=0.005,N('Min gæld'!$E$5),0)+IF(N(K213)&lt;=0.005,N('Min gæld'!$E$6),0)+IF(N(O213)&lt;=0.005,N('Min gæld'!$E$7),0)+IF(N(S213)&lt;=0.005,N('Min gæld'!$E$8),0)+IF(N(W213)&lt;=0.005,N('Min gæld'!$E$9),0)+IF(N(AA213)&lt;=0.005,N('Min gæld'!$E$10),0)+IF(N(AE213)&lt;=0.005,N('Min gæld'!$E$11),0)+IF(N(AI213)&lt;=0.005,N('Min gæld'!$E$12),0)</f>
        <v>4800</v>
      </c>
      <c r="D214" s="27" t="n">
        <f aca="false">MAX(0,C214)</f>
        <v>4800</v>
      </c>
      <c r="E214" s="27" t="n">
        <f aca="false">IF(N(G213)&lt;=0.005,0,N(G213)*(1+N('Min gæld'!$D$5)/12))</f>
        <v>0</v>
      </c>
      <c r="F214" s="27" t="n">
        <f aca="false">IF(E214&lt;=0,0,MIN(E214,N('Min gæld'!$E$5)+D214))</f>
        <v>0</v>
      </c>
      <c r="G214" s="27" t="n">
        <f aca="false">IF(E214-F214&lt;0.005,0,E214-F214)</f>
        <v>0</v>
      </c>
      <c r="H214" s="27" t="n">
        <f aca="false">MAX(0,IF(N(G213)&lt;=0.005,D214,D214+N('Min gæld'!$E$5)-F214))</f>
        <v>4800</v>
      </c>
      <c r="I214" s="27" t="n">
        <f aca="false">IF(N(K213)&lt;=0.005,0,N(K213)*(1+N('Min gæld'!$D$6)/12))</f>
        <v>0</v>
      </c>
      <c r="J214" s="27" t="n">
        <f aca="false">IF(I214&lt;=0,0,MIN(I214,N('Min gæld'!$E$6)+H214))</f>
        <v>0</v>
      </c>
      <c r="K214" s="27" t="n">
        <f aca="false">IF(I214-J214&lt;0.005,0,I214-J214)</f>
        <v>0</v>
      </c>
      <c r="L214" s="27" t="n">
        <f aca="false">MAX(0,IF(N(K213)&lt;=0.005,H214,H214+N('Min gæld'!$E$6)-J214))</f>
        <v>4800</v>
      </c>
      <c r="M214" s="27" t="n">
        <f aca="false">IF(N(O213)&lt;=0.005,0,N(O213)*(1+N('Min gæld'!$D$7)/12))</f>
        <v>0</v>
      </c>
      <c r="N214" s="27" t="n">
        <f aca="false">IF(M214&lt;=0,0,MIN(M214,N('Min gæld'!$E$7)+L214))</f>
        <v>0</v>
      </c>
      <c r="O214" s="27" t="n">
        <f aca="false">IF(M214-N214&lt;0.005,0,M214-N214)</f>
        <v>0</v>
      </c>
      <c r="P214" s="27" t="n">
        <f aca="false">MAX(0,IF(N(O213)&lt;=0.005,L214,L214+N('Min gæld'!$E$7)-N214))</f>
        <v>4800</v>
      </c>
      <c r="Q214" s="27" t="n">
        <f aca="false">IF(N(S213)&lt;=0.005,0,N(S213)*(1+N('Min gæld'!$D$8)/12))</f>
        <v>0</v>
      </c>
      <c r="R214" s="27" t="n">
        <f aca="false">IF(Q214&lt;=0,0,MIN(Q214,N('Min gæld'!$E$8)+P214))</f>
        <v>0</v>
      </c>
      <c r="S214" s="27" t="n">
        <f aca="false">IF(Q214-R214&lt;0.005,0,Q214-R214)</f>
        <v>0</v>
      </c>
      <c r="T214" s="27" t="n">
        <f aca="false">MAX(0,IF(N(S213)&lt;=0.005,P214,P214+N('Min gæld'!$E$8)-R214))</f>
        <v>4800</v>
      </c>
      <c r="U214" s="27" t="n">
        <f aca="false">IF(N(W213)&lt;=0.005,0,N(W213)*(1+N('Min gæld'!$D$9)/12))</f>
        <v>0</v>
      </c>
      <c r="V214" s="27" t="n">
        <f aca="false">IF(U214&lt;=0,0,MIN(U214,N('Min gæld'!$E$9)+T214))</f>
        <v>0</v>
      </c>
      <c r="W214" s="27" t="n">
        <f aca="false">IF(U214-V214&lt;0.005,0,U214-V214)</f>
        <v>0</v>
      </c>
      <c r="X214" s="27" t="n">
        <f aca="false">MAX(0,IF(N(W213)&lt;=0.005,T214,T214+N('Min gæld'!$E$9)-V214))</f>
        <v>4800</v>
      </c>
      <c r="Y214" s="27" t="n">
        <f aca="false">IF(N(AA213)&lt;=0.005,0,N(AA213)*(1+N('Min gæld'!$D$10)/12))</f>
        <v>0</v>
      </c>
      <c r="Z214" s="27" t="n">
        <f aca="false">IF(Y214&lt;=0,0,MIN(Y214,N('Min gæld'!$E$10)+X214))</f>
        <v>0</v>
      </c>
      <c r="AA214" s="27" t="n">
        <f aca="false">IF(Y214-Z214&lt;0.005,0,Y214-Z214)</f>
        <v>0</v>
      </c>
      <c r="AB214" s="27" t="n">
        <f aca="false">MAX(0,IF(N(AA213)&lt;=0.005,X214,X214+N('Min gæld'!$E$10)-Z214))</f>
        <v>4800</v>
      </c>
      <c r="AC214" s="27" t="n">
        <f aca="false">IF(N(AE213)&lt;=0.005,0,N(AE213)*(1+N('Min gæld'!$D$11)/12))</f>
        <v>0</v>
      </c>
      <c r="AD214" s="27" t="n">
        <f aca="false">IF(AC214&lt;=0,0,MIN(AC214,N('Min gæld'!$E$11)+AB214))</f>
        <v>0</v>
      </c>
      <c r="AE214" s="27" t="n">
        <f aca="false">IF(AC214-AD214&lt;0.005,0,AC214-AD214)</f>
        <v>0</v>
      </c>
      <c r="AF214" s="27" t="n">
        <f aca="false">MAX(0,IF(N(AE213)&lt;=0.005,AB214,AB214+N('Min gæld'!$E$11)-AD214))</f>
        <v>4800</v>
      </c>
      <c r="AG214" s="27" t="n">
        <f aca="false">IF(N(AI213)&lt;=0.005,0,N(AI213)*(1+N('Min gæld'!$D$12)/12))</f>
        <v>0</v>
      </c>
      <c r="AH214" s="27" t="n">
        <f aca="false">IF(AG214&lt;=0,0,MIN(AG214,N('Min gæld'!$E$12)+AF214))</f>
        <v>0</v>
      </c>
      <c r="AI214" s="27" t="n">
        <f aca="false">IF(AG214-AH214&lt;0.005,0,AG214-AH214)</f>
        <v>0</v>
      </c>
      <c r="AJ214" s="27" t="n">
        <f aca="false">G214+K214+O214+S214+W214+AA214+AE214+AI214</f>
        <v>0</v>
      </c>
      <c r="AK214" s="28" t="n">
        <f aca="false">IF(E214&gt;0,E214-N(G213),0)+IF(I214&gt;0,I214-N(K213),0)+IF(M214&gt;0,M214-N(O213),0)+IF(Q214&gt;0,Q214-N(S213),0)+IF(U214&gt;0,U214-N(W213),0)+IF(Y214&gt;0,Y214-N(AA213),0)+IF(AC214&gt;0,AC214-N(AE213),0)+IF(AG214&gt;0,AG214-N(AI213),0)</f>
        <v>0</v>
      </c>
    </row>
    <row r="215" customFormat="false" ht="15" hidden="false" customHeight="false" outlineLevel="0" collapsed="false">
      <c r="A215" s="25" t="n">
        <v>210</v>
      </c>
      <c r="B215" s="26" t="n">
        <f aca="false">EDATE('Min gæld'!$C$16,209)</f>
        <v>52749</v>
      </c>
      <c r="C215" s="27" t="n">
        <f aca="false">N('Min gæld'!$C$15)+IF(N(G214)&lt;=0.005,N('Min gæld'!$E$5),0)+IF(N(K214)&lt;=0.005,N('Min gæld'!$E$6),0)+IF(N(O214)&lt;=0.005,N('Min gæld'!$E$7),0)+IF(N(S214)&lt;=0.005,N('Min gæld'!$E$8),0)+IF(N(W214)&lt;=0.005,N('Min gæld'!$E$9),0)+IF(N(AA214)&lt;=0.005,N('Min gæld'!$E$10),0)+IF(N(AE214)&lt;=0.005,N('Min gæld'!$E$11),0)+IF(N(AI214)&lt;=0.005,N('Min gæld'!$E$12),0)</f>
        <v>4800</v>
      </c>
      <c r="D215" s="27" t="n">
        <f aca="false">MAX(0,C215)</f>
        <v>4800</v>
      </c>
      <c r="E215" s="27" t="n">
        <f aca="false">IF(N(G214)&lt;=0.005,0,N(G214)*(1+N('Min gæld'!$D$5)/12))</f>
        <v>0</v>
      </c>
      <c r="F215" s="27" t="n">
        <f aca="false">IF(E215&lt;=0,0,MIN(E215,N('Min gæld'!$E$5)+D215))</f>
        <v>0</v>
      </c>
      <c r="G215" s="27" t="n">
        <f aca="false">IF(E215-F215&lt;0.005,0,E215-F215)</f>
        <v>0</v>
      </c>
      <c r="H215" s="27" t="n">
        <f aca="false">MAX(0,IF(N(G214)&lt;=0.005,D215,D215+N('Min gæld'!$E$5)-F215))</f>
        <v>4800</v>
      </c>
      <c r="I215" s="27" t="n">
        <f aca="false">IF(N(K214)&lt;=0.005,0,N(K214)*(1+N('Min gæld'!$D$6)/12))</f>
        <v>0</v>
      </c>
      <c r="J215" s="27" t="n">
        <f aca="false">IF(I215&lt;=0,0,MIN(I215,N('Min gæld'!$E$6)+H215))</f>
        <v>0</v>
      </c>
      <c r="K215" s="27" t="n">
        <f aca="false">IF(I215-J215&lt;0.005,0,I215-J215)</f>
        <v>0</v>
      </c>
      <c r="L215" s="27" t="n">
        <f aca="false">MAX(0,IF(N(K214)&lt;=0.005,H215,H215+N('Min gæld'!$E$6)-J215))</f>
        <v>4800</v>
      </c>
      <c r="M215" s="27" t="n">
        <f aca="false">IF(N(O214)&lt;=0.005,0,N(O214)*(1+N('Min gæld'!$D$7)/12))</f>
        <v>0</v>
      </c>
      <c r="N215" s="27" t="n">
        <f aca="false">IF(M215&lt;=0,0,MIN(M215,N('Min gæld'!$E$7)+L215))</f>
        <v>0</v>
      </c>
      <c r="O215" s="27" t="n">
        <f aca="false">IF(M215-N215&lt;0.005,0,M215-N215)</f>
        <v>0</v>
      </c>
      <c r="P215" s="27" t="n">
        <f aca="false">MAX(0,IF(N(O214)&lt;=0.005,L215,L215+N('Min gæld'!$E$7)-N215))</f>
        <v>4800</v>
      </c>
      <c r="Q215" s="27" t="n">
        <f aca="false">IF(N(S214)&lt;=0.005,0,N(S214)*(1+N('Min gæld'!$D$8)/12))</f>
        <v>0</v>
      </c>
      <c r="R215" s="27" t="n">
        <f aca="false">IF(Q215&lt;=0,0,MIN(Q215,N('Min gæld'!$E$8)+P215))</f>
        <v>0</v>
      </c>
      <c r="S215" s="27" t="n">
        <f aca="false">IF(Q215-R215&lt;0.005,0,Q215-R215)</f>
        <v>0</v>
      </c>
      <c r="T215" s="27" t="n">
        <f aca="false">MAX(0,IF(N(S214)&lt;=0.005,P215,P215+N('Min gæld'!$E$8)-R215))</f>
        <v>4800</v>
      </c>
      <c r="U215" s="27" t="n">
        <f aca="false">IF(N(W214)&lt;=0.005,0,N(W214)*(1+N('Min gæld'!$D$9)/12))</f>
        <v>0</v>
      </c>
      <c r="V215" s="27" t="n">
        <f aca="false">IF(U215&lt;=0,0,MIN(U215,N('Min gæld'!$E$9)+T215))</f>
        <v>0</v>
      </c>
      <c r="W215" s="27" t="n">
        <f aca="false">IF(U215-V215&lt;0.005,0,U215-V215)</f>
        <v>0</v>
      </c>
      <c r="X215" s="27" t="n">
        <f aca="false">MAX(0,IF(N(W214)&lt;=0.005,T215,T215+N('Min gæld'!$E$9)-V215))</f>
        <v>4800</v>
      </c>
      <c r="Y215" s="27" t="n">
        <f aca="false">IF(N(AA214)&lt;=0.005,0,N(AA214)*(1+N('Min gæld'!$D$10)/12))</f>
        <v>0</v>
      </c>
      <c r="Z215" s="27" t="n">
        <f aca="false">IF(Y215&lt;=0,0,MIN(Y215,N('Min gæld'!$E$10)+X215))</f>
        <v>0</v>
      </c>
      <c r="AA215" s="27" t="n">
        <f aca="false">IF(Y215-Z215&lt;0.005,0,Y215-Z215)</f>
        <v>0</v>
      </c>
      <c r="AB215" s="27" t="n">
        <f aca="false">MAX(0,IF(N(AA214)&lt;=0.005,X215,X215+N('Min gæld'!$E$10)-Z215))</f>
        <v>4800</v>
      </c>
      <c r="AC215" s="27" t="n">
        <f aca="false">IF(N(AE214)&lt;=0.005,0,N(AE214)*(1+N('Min gæld'!$D$11)/12))</f>
        <v>0</v>
      </c>
      <c r="AD215" s="27" t="n">
        <f aca="false">IF(AC215&lt;=0,0,MIN(AC215,N('Min gæld'!$E$11)+AB215))</f>
        <v>0</v>
      </c>
      <c r="AE215" s="27" t="n">
        <f aca="false">IF(AC215-AD215&lt;0.005,0,AC215-AD215)</f>
        <v>0</v>
      </c>
      <c r="AF215" s="27" t="n">
        <f aca="false">MAX(0,IF(N(AE214)&lt;=0.005,AB215,AB215+N('Min gæld'!$E$11)-AD215))</f>
        <v>4800</v>
      </c>
      <c r="AG215" s="27" t="n">
        <f aca="false">IF(N(AI214)&lt;=0.005,0,N(AI214)*(1+N('Min gæld'!$D$12)/12))</f>
        <v>0</v>
      </c>
      <c r="AH215" s="27" t="n">
        <f aca="false">IF(AG215&lt;=0,0,MIN(AG215,N('Min gæld'!$E$12)+AF215))</f>
        <v>0</v>
      </c>
      <c r="AI215" s="27" t="n">
        <f aca="false">IF(AG215-AH215&lt;0.005,0,AG215-AH215)</f>
        <v>0</v>
      </c>
      <c r="AJ215" s="27" t="n">
        <f aca="false">G215+K215+O215+S215+W215+AA215+AE215+AI215</f>
        <v>0</v>
      </c>
      <c r="AK215" s="28" t="n">
        <f aca="false">IF(E215&gt;0,E215-N(G214),0)+IF(I215&gt;0,I215-N(K214),0)+IF(M215&gt;0,M215-N(O214),0)+IF(Q215&gt;0,Q215-N(S214),0)+IF(U215&gt;0,U215-N(W214),0)+IF(Y215&gt;0,Y215-N(AA214),0)+IF(AC215&gt;0,AC215-N(AE214),0)+IF(AG215&gt;0,AG215-N(AI214),0)</f>
        <v>0</v>
      </c>
    </row>
    <row r="216" customFormat="false" ht="15" hidden="false" customHeight="false" outlineLevel="0" collapsed="false">
      <c r="A216" s="25" t="n">
        <v>211</v>
      </c>
      <c r="B216" s="26" t="n">
        <f aca="false">EDATE('Min gæld'!$C$16,210)</f>
        <v>52779</v>
      </c>
      <c r="C216" s="27" t="n">
        <f aca="false">N('Min gæld'!$C$15)+IF(N(G215)&lt;=0.005,N('Min gæld'!$E$5),0)+IF(N(K215)&lt;=0.005,N('Min gæld'!$E$6),0)+IF(N(O215)&lt;=0.005,N('Min gæld'!$E$7),0)+IF(N(S215)&lt;=0.005,N('Min gæld'!$E$8),0)+IF(N(W215)&lt;=0.005,N('Min gæld'!$E$9),0)+IF(N(AA215)&lt;=0.005,N('Min gæld'!$E$10),0)+IF(N(AE215)&lt;=0.005,N('Min gæld'!$E$11),0)+IF(N(AI215)&lt;=0.005,N('Min gæld'!$E$12),0)</f>
        <v>4800</v>
      </c>
      <c r="D216" s="27" t="n">
        <f aca="false">MAX(0,C216)</f>
        <v>4800</v>
      </c>
      <c r="E216" s="27" t="n">
        <f aca="false">IF(N(G215)&lt;=0.005,0,N(G215)*(1+N('Min gæld'!$D$5)/12))</f>
        <v>0</v>
      </c>
      <c r="F216" s="27" t="n">
        <f aca="false">IF(E216&lt;=0,0,MIN(E216,N('Min gæld'!$E$5)+D216))</f>
        <v>0</v>
      </c>
      <c r="G216" s="27" t="n">
        <f aca="false">IF(E216-F216&lt;0.005,0,E216-F216)</f>
        <v>0</v>
      </c>
      <c r="H216" s="27" t="n">
        <f aca="false">MAX(0,IF(N(G215)&lt;=0.005,D216,D216+N('Min gæld'!$E$5)-F216))</f>
        <v>4800</v>
      </c>
      <c r="I216" s="27" t="n">
        <f aca="false">IF(N(K215)&lt;=0.005,0,N(K215)*(1+N('Min gæld'!$D$6)/12))</f>
        <v>0</v>
      </c>
      <c r="J216" s="27" t="n">
        <f aca="false">IF(I216&lt;=0,0,MIN(I216,N('Min gæld'!$E$6)+H216))</f>
        <v>0</v>
      </c>
      <c r="K216" s="27" t="n">
        <f aca="false">IF(I216-J216&lt;0.005,0,I216-J216)</f>
        <v>0</v>
      </c>
      <c r="L216" s="27" t="n">
        <f aca="false">MAX(0,IF(N(K215)&lt;=0.005,H216,H216+N('Min gæld'!$E$6)-J216))</f>
        <v>4800</v>
      </c>
      <c r="M216" s="27" t="n">
        <f aca="false">IF(N(O215)&lt;=0.005,0,N(O215)*(1+N('Min gæld'!$D$7)/12))</f>
        <v>0</v>
      </c>
      <c r="N216" s="27" t="n">
        <f aca="false">IF(M216&lt;=0,0,MIN(M216,N('Min gæld'!$E$7)+L216))</f>
        <v>0</v>
      </c>
      <c r="O216" s="27" t="n">
        <f aca="false">IF(M216-N216&lt;0.005,0,M216-N216)</f>
        <v>0</v>
      </c>
      <c r="P216" s="27" t="n">
        <f aca="false">MAX(0,IF(N(O215)&lt;=0.005,L216,L216+N('Min gæld'!$E$7)-N216))</f>
        <v>4800</v>
      </c>
      <c r="Q216" s="27" t="n">
        <f aca="false">IF(N(S215)&lt;=0.005,0,N(S215)*(1+N('Min gæld'!$D$8)/12))</f>
        <v>0</v>
      </c>
      <c r="R216" s="27" t="n">
        <f aca="false">IF(Q216&lt;=0,0,MIN(Q216,N('Min gæld'!$E$8)+P216))</f>
        <v>0</v>
      </c>
      <c r="S216" s="27" t="n">
        <f aca="false">IF(Q216-R216&lt;0.005,0,Q216-R216)</f>
        <v>0</v>
      </c>
      <c r="T216" s="27" t="n">
        <f aca="false">MAX(0,IF(N(S215)&lt;=0.005,P216,P216+N('Min gæld'!$E$8)-R216))</f>
        <v>4800</v>
      </c>
      <c r="U216" s="27" t="n">
        <f aca="false">IF(N(W215)&lt;=0.005,0,N(W215)*(1+N('Min gæld'!$D$9)/12))</f>
        <v>0</v>
      </c>
      <c r="V216" s="27" t="n">
        <f aca="false">IF(U216&lt;=0,0,MIN(U216,N('Min gæld'!$E$9)+T216))</f>
        <v>0</v>
      </c>
      <c r="W216" s="27" t="n">
        <f aca="false">IF(U216-V216&lt;0.005,0,U216-V216)</f>
        <v>0</v>
      </c>
      <c r="X216" s="27" t="n">
        <f aca="false">MAX(0,IF(N(W215)&lt;=0.005,T216,T216+N('Min gæld'!$E$9)-V216))</f>
        <v>4800</v>
      </c>
      <c r="Y216" s="27" t="n">
        <f aca="false">IF(N(AA215)&lt;=0.005,0,N(AA215)*(1+N('Min gæld'!$D$10)/12))</f>
        <v>0</v>
      </c>
      <c r="Z216" s="27" t="n">
        <f aca="false">IF(Y216&lt;=0,0,MIN(Y216,N('Min gæld'!$E$10)+X216))</f>
        <v>0</v>
      </c>
      <c r="AA216" s="27" t="n">
        <f aca="false">IF(Y216-Z216&lt;0.005,0,Y216-Z216)</f>
        <v>0</v>
      </c>
      <c r="AB216" s="27" t="n">
        <f aca="false">MAX(0,IF(N(AA215)&lt;=0.005,X216,X216+N('Min gæld'!$E$10)-Z216))</f>
        <v>4800</v>
      </c>
      <c r="AC216" s="27" t="n">
        <f aca="false">IF(N(AE215)&lt;=0.005,0,N(AE215)*(1+N('Min gæld'!$D$11)/12))</f>
        <v>0</v>
      </c>
      <c r="AD216" s="27" t="n">
        <f aca="false">IF(AC216&lt;=0,0,MIN(AC216,N('Min gæld'!$E$11)+AB216))</f>
        <v>0</v>
      </c>
      <c r="AE216" s="27" t="n">
        <f aca="false">IF(AC216-AD216&lt;0.005,0,AC216-AD216)</f>
        <v>0</v>
      </c>
      <c r="AF216" s="27" t="n">
        <f aca="false">MAX(0,IF(N(AE215)&lt;=0.005,AB216,AB216+N('Min gæld'!$E$11)-AD216))</f>
        <v>4800</v>
      </c>
      <c r="AG216" s="27" t="n">
        <f aca="false">IF(N(AI215)&lt;=0.005,0,N(AI215)*(1+N('Min gæld'!$D$12)/12))</f>
        <v>0</v>
      </c>
      <c r="AH216" s="27" t="n">
        <f aca="false">IF(AG216&lt;=0,0,MIN(AG216,N('Min gæld'!$E$12)+AF216))</f>
        <v>0</v>
      </c>
      <c r="AI216" s="27" t="n">
        <f aca="false">IF(AG216-AH216&lt;0.005,0,AG216-AH216)</f>
        <v>0</v>
      </c>
      <c r="AJ216" s="27" t="n">
        <f aca="false">G216+K216+O216+S216+W216+AA216+AE216+AI216</f>
        <v>0</v>
      </c>
      <c r="AK216" s="28" t="n">
        <f aca="false">IF(E216&gt;0,E216-N(G215),0)+IF(I216&gt;0,I216-N(K215),0)+IF(M216&gt;0,M216-N(O215),0)+IF(Q216&gt;0,Q216-N(S215),0)+IF(U216&gt;0,U216-N(W215),0)+IF(Y216&gt;0,Y216-N(AA215),0)+IF(AC216&gt;0,AC216-N(AE215),0)+IF(AG216&gt;0,AG216-N(AI215),0)</f>
        <v>0</v>
      </c>
    </row>
    <row r="217" customFormat="false" ht="15" hidden="false" customHeight="false" outlineLevel="0" collapsed="false">
      <c r="A217" s="25" t="n">
        <v>212</v>
      </c>
      <c r="B217" s="26" t="n">
        <f aca="false">EDATE('Min gæld'!$C$16,211)</f>
        <v>52810</v>
      </c>
      <c r="C217" s="27" t="n">
        <f aca="false">N('Min gæld'!$C$15)+IF(N(G216)&lt;=0.005,N('Min gæld'!$E$5),0)+IF(N(K216)&lt;=0.005,N('Min gæld'!$E$6),0)+IF(N(O216)&lt;=0.005,N('Min gæld'!$E$7),0)+IF(N(S216)&lt;=0.005,N('Min gæld'!$E$8),0)+IF(N(W216)&lt;=0.005,N('Min gæld'!$E$9),0)+IF(N(AA216)&lt;=0.005,N('Min gæld'!$E$10),0)+IF(N(AE216)&lt;=0.005,N('Min gæld'!$E$11),0)+IF(N(AI216)&lt;=0.005,N('Min gæld'!$E$12),0)</f>
        <v>4800</v>
      </c>
      <c r="D217" s="27" t="n">
        <f aca="false">MAX(0,C217)</f>
        <v>4800</v>
      </c>
      <c r="E217" s="27" t="n">
        <f aca="false">IF(N(G216)&lt;=0.005,0,N(G216)*(1+N('Min gæld'!$D$5)/12))</f>
        <v>0</v>
      </c>
      <c r="F217" s="27" t="n">
        <f aca="false">IF(E217&lt;=0,0,MIN(E217,N('Min gæld'!$E$5)+D217))</f>
        <v>0</v>
      </c>
      <c r="G217" s="27" t="n">
        <f aca="false">IF(E217-F217&lt;0.005,0,E217-F217)</f>
        <v>0</v>
      </c>
      <c r="H217" s="27" t="n">
        <f aca="false">MAX(0,IF(N(G216)&lt;=0.005,D217,D217+N('Min gæld'!$E$5)-F217))</f>
        <v>4800</v>
      </c>
      <c r="I217" s="27" t="n">
        <f aca="false">IF(N(K216)&lt;=0.005,0,N(K216)*(1+N('Min gæld'!$D$6)/12))</f>
        <v>0</v>
      </c>
      <c r="J217" s="27" t="n">
        <f aca="false">IF(I217&lt;=0,0,MIN(I217,N('Min gæld'!$E$6)+H217))</f>
        <v>0</v>
      </c>
      <c r="K217" s="27" t="n">
        <f aca="false">IF(I217-J217&lt;0.005,0,I217-J217)</f>
        <v>0</v>
      </c>
      <c r="L217" s="27" t="n">
        <f aca="false">MAX(0,IF(N(K216)&lt;=0.005,H217,H217+N('Min gæld'!$E$6)-J217))</f>
        <v>4800</v>
      </c>
      <c r="M217" s="27" t="n">
        <f aca="false">IF(N(O216)&lt;=0.005,0,N(O216)*(1+N('Min gæld'!$D$7)/12))</f>
        <v>0</v>
      </c>
      <c r="N217" s="27" t="n">
        <f aca="false">IF(M217&lt;=0,0,MIN(M217,N('Min gæld'!$E$7)+L217))</f>
        <v>0</v>
      </c>
      <c r="O217" s="27" t="n">
        <f aca="false">IF(M217-N217&lt;0.005,0,M217-N217)</f>
        <v>0</v>
      </c>
      <c r="P217" s="27" t="n">
        <f aca="false">MAX(0,IF(N(O216)&lt;=0.005,L217,L217+N('Min gæld'!$E$7)-N217))</f>
        <v>4800</v>
      </c>
      <c r="Q217" s="27" t="n">
        <f aca="false">IF(N(S216)&lt;=0.005,0,N(S216)*(1+N('Min gæld'!$D$8)/12))</f>
        <v>0</v>
      </c>
      <c r="R217" s="27" t="n">
        <f aca="false">IF(Q217&lt;=0,0,MIN(Q217,N('Min gæld'!$E$8)+P217))</f>
        <v>0</v>
      </c>
      <c r="S217" s="27" t="n">
        <f aca="false">IF(Q217-R217&lt;0.005,0,Q217-R217)</f>
        <v>0</v>
      </c>
      <c r="T217" s="27" t="n">
        <f aca="false">MAX(0,IF(N(S216)&lt;=0.005,P217,P217+N('Min gæld'!$E$8)-R217))</f>
        <v>4800</v>
      </c>
      <c r="U217" s="27" t="n">
        <f aca="false">IF(N(W216)&lt;=0.005,0,N(W216)*(1+N('Min gæld'!$D$9)/12))</f>
        <v>0</v>
      </c>
      <c r="V217" s="27" t="n">
        <f aca="false">IF(U217&lt;=0,0,MIN(U217,N('Min gæld'!$E$9)+T217))</f>
        <v>0</v>
      </c>
      <c r="W217" s="27" t="n">
        <f aca="false">IF(U217-V217&lt;0.005,0,U217-V217)</f>
        <v>0</v>
      </c>
      <c r="X217" s="27" t="n">
        <f aca="false">MAX(0,IF(N(W216)&lt;=0.005,T217,T217+N('Min gæld'!$E$9)-V217))</f>
        <v>4800</v>
      </c>
      <c r="Y217" s="27" t="n">
        <f aca="false">IF(N(AA216)&lt;=0.005,0,N(AA216)*(1+N('Min gæld'!$D$10)/12))</f>
        <v>0</v>
      </c>
      <c r="Z217" s="27" t="n">
        <f aca="false">IF(Y217&lt;=0,0,MIN(Y217,N('Min gæld'!$E$10)+X217))</f>
        <v>0</v>
      </c>
      <c r="AA217" s="27" t="n">
        <f aca="false">IF(Y217-Z217&lt;0.005,0,Y217-Z217)</f>
        <v>0</v>
      </c>
      <c r="AB217" s="27" t="n">
        <f aca="false">MAX(0,IF(N(AA216)&lt;=0.005,X217,X217+N('Min gæld'!$E$10)-Z217))</f>
        <v>4800</v>
      </c>
      <c r="AC217" s="27" t="n">
        <f aca="false">IF(N(AE216)&lt;=0.005,0,N(AE216)*(1+N('Min gæld'!$D$11)/12))</f>
        <v>0</v>
      </c>
      <c r="AD217" s="27" t="n">
        <f aca="false">IF(AC217&lt;=0,0,MIN(AC217,N('Min gæld'!$E$11)+AB217))</f>
        <v>0</v>
      </c>
      <c r="AE217" s="27" t="n">
        <f aca="false">IF(AC217-AD217&lt;0.005,0,AC217-AD217)</f>
        <v>0</v>
      </c>
      <c r="AF217" s="27" t="n">
        <f aca="false">MAX(0,IF(N(AE216)&lt;=0.005,AB217,AB217+N('Min gæld'!$E$11)-AD217))</f>
        <v>4800</v>
      </c>
      <c r="AG217" s="27" t="n">
        <f aca="false">IF(N(AI216)&lt;=0.005,0,N(AI216)*(1+N('Min gæld'!$D$12)/12))</f>
        <v>0</v>
      </c>
      <c r="AH217" s="27" t="n">
        <f aca="false">IF(AG217&lt;=0,0,MIN(AG217,N('Min gæld'!$E$12)+AF217))</f>
        <v>0</v>
      </c>
      <c r="AI217" s="27" t="n">
        <f aca="false">IF(AG217-AH217&lt;0.005,0,AG217-AH217)</f>
        <v>0</v>
      </c>
      <c r="AJ217" s="27" t="n">
        <f aca="false">G217+K217+O217+S217+W217+AA217+AE217+AI217</f>
        <v>0</v>
      </c>
      <c r="AK217" s="28" t="n">
        <f aca="false">IF(E217&gt;0,E217-N(G216),0)+IF(I217&gt;0,I217-N(K216),0)+IF(M217&gt;0,M217-N(O216),0)+IF(Q217&gt;0,Q217-N(S216),0)+IF(U217&gt;0,U217-N(W216),0)+IF(Y217&gt;0,Y217-N(AA216),0)+IF(AC217&gt;0,AC217-N(AE216),0)+IF(AG217&gt;0,AG217-N(AI216),0)</f>
        <v>0</v>
      </c>
    </row>
    <row r="218" customFormat="false" ht="15" hidden="false" customHeight="false" outlineLevel="0" collapsed="false">
      <c r="A218" s="25" t="n">
        <v>213</v>
      </c>
      <c r="B218" s="26" t="n">
        <f aca="false">EDATE('Min gæld'!$C$16,212)</f>
        <v>52841</v>
      </c>
      <c r="C218" s="27" t="n">
        <f aca="false">N('Min gæld'!$C$15)+IF(N(G217)&lt;=0.005,N('Min gæld'!$E$5),0)+IF(N(K217)&lt;=0.005,N('Min gæld'!$E$6),0)+IF(N(O217)&lt;=0.005,N('Min gæld'!$E$7),0)+IF(N(S217)&lt;=0.005,N('Min gæld'!$E$8),0)+IF(N(W217)&lt;=0.005,N('Min gæld'!$E$9),0)+IF(N(AA217)&lt;=0.005,N('Min gæld'!$E$10),0)+IF(N(AE217)&lt;=0.005,N('Min gæld'!$E$11),0)+IF(N(AI217)&lt;=0.005,N('Min gæld'!$E$12),0)</f>
        <v>4800</v>
      </c>
      <c r="D218" s="27" t="n">
        <f aca="false">MAX(0,C218)</f>
        <v>4800</v>
      </c>
      <c r="E218" s="27" t="n">
        <f aca="false">IF(N(G217)&lt;=0.005,0,N(G217)*(1+N('Min gæld'!$D$5)/12))</f>
        <v>0</v>
      </c>
      <c r="F218" s="27" t="n">
        <f aca="false">IF(E218&lt;=0,0,MIN(E218,N('Min gæld'!$E$5)+D218))</f>
        <v>0</v>
      </c>
      <c r="G218" s="27" t="n">
        <f aca="false">IF(E218-F218&lt;0.005,0,E218-F218)</f>
        <v>0</v>
      </c>
      <c r="H218" s="27" t="n">
        <f aca="false">MAX(0,IF(N(G217)&lt;=0.005,D218,D218+N('Min gæld'!$E$5)-F218))</f>
        <v>4800</v>
      </c>
      <c r="I218" s="27" t="n">
        <f aca="false">IF(N(K217)&lt;=0.005,0,N(K217)*(1+N('Min gæld'!$D$6)/12))</f>
        <v>0</v>
      </c>
      <c r="J218" s="27" t="n">
        <f aca="false">IF(I218&lt;=0,0,MIN(I218,N('Min gæld'!$E$6)+H218))</f>
        <v>0</v>
      </c>
      <c r="K218" s="27" t="n">
        <f aca="false">IF(I218-J218&lt;0.005,0,I218-J218)</f>
        <v>0</v>
      </c>
      <c r="L218" s="27" t="n">
        <f aca="false">MAX(0,IF(N(K217)&lt;=0.005,H218,H218+N('Min gæld'!$E$6)-J218))</f>
        <v>4800</v>
      </c>
      <c r="M218" s="27" t="n">
        <f aca="false">IF(N(O217)&lt;=0.005,0,N(O217)*(1+N('Min gæld'!$D$7)/12))</f>
        <v>0</v>
      </c>
      <c r="N218" s="27" t="n">
        <f aca="false">IF(M218&lt;=0,0,MIN(M218,N('Min gæld'!$E$7)+L218))</f>
        <v>0</v>
      </c>
      <c r="O218" s="27" t="n">
        <f aca="false">IF(M218-N218&lt;0.005,0,M218-N218)</f>
        <v>0</v>
      </c>
      <c r="P218" s="27" t="n">
        <f aca="false">MAX(0,IF(N(O217)&lt;=0.005,L218,L218+N('Min gæld'!$E$7)-N218))</f>
        <v>4800</v>
      </c>
      <c r="Q218" s="27" t="n">
        <f aca="false">IF(N(S217)&lt;=0.005,0,N(S217)*(1+N('Min gæld'!$D$8)/12))</f>
        <v>0</v>
      </c>
      <c r="R218" s="27" t="n">
        <f aca="false">IF(Q218&lt;=0,0,MIN(Q218,N('Min gæld'!$E$8)+P218))</f>
        <v>0</v>
      </c>
      <c r="S218" s="27" t="n">
        <f aca="false">IF(Q218-R218&lt;0.005,0,Q218-R218)</f>
        <v>0</v>
      </c>
      <c r="T218" s="27" t="n">
        <f aca="false">MAX(0,IF(N(S217)&lt;=0.005,P218,P218+N('Min gæld'!$E$8)-R218))</f>
        <v>4800</v>
      </c>
      <c r="U218" s="27" t="n">
        <f aca="false">IF(N(W217)&lt;=0.005,0,N(W217)*(1+N('Min gæld'!$D$9)/12))</f>
        <v>0</v>
      </c>
      <c r="V218" s="27" t="n">
        <f aca="false">IF(U218&lt;=0,0,MIN(U218,N('Min gæld'!$E$9)+T218))</f>
        <v>0</v>
      </c>
      <c r="W218" s="27" t="n">
        <f aca="false">IF(U218-V218&lt;0.005,0,U218-V218)</f>
        <v>0</v>
      </c>
      <c r="X218" s="27" t="n">
        <f aca="false">MAX(0,IF(N(W217)&lt;=0.005,T218,T218+N('Min gæld'!$E$9)-V218))</f>
        <v>4800</v>
      </c>
      <c r="Y218" s="27" t="n">
        <f aca="false">IF(N(AA217)&lt;=0.005,0,N(AA217)*(1+N('Min gæld'!$D$10)/12))</f>
        <v>0</v>
      </c>
      <c r="Z218" s="27" t="n">
        <f aca="false">IF(Y218&lt;=0,0,MIN(Y218,N('Min gæld'!$E$10)+X218))</f>
        <v>0</v>
      </c>
      <c r="AA218" s="27" t="n">
        <f aca="false">IF(Y218-Z218&lt;0.005,0,Y218-Z218)</f>
        <v>0</v>
      </c>
      <c r="AB218" s="27" t="n">
        <f aca="false">MAX(0,IF(N(AA217)&lt;=0.005,X218,X218+N('Min gæld'!$E$10)-Z218))</f>
        <v>4800</v>
      </c>
      <c r="AC218" s="27" t="n">
        <f aca="false">IF(N(AE217)&lt;=0.005,0,N(AE217)*(1+N('Min gæld'!$D$11)/12))</f>
        <v>0</v>
      </c>
      <c r="AD218" s="27" t="n">
        <f aca="false">IF(AC218&lt;=0,0,MIN(AC218,N('Min gæld'!$E$11)+AB218))</f>
        <v>0</v>
      </c>
      <c r="AE218" s="27" t="n">
        <f aca="false">IF(AC218-AD218&lt;0.005,0,AC218-AD218)</f>
        <v>0</v>
      </c>
      <c r="AF218" s="27" t="n">
        <f aca="false">MAX(0,IF(N(AE217)&lt;=0.005,AB218,AB218+N('Min gæld'!$E$11)-AD218))</f>
        <v>4800</v>
      </c>
      <c r="AG218" s="27" t="n">
        <f aca="false">IF(N(AI217)&lt;=0.005,0,N(AI217)*(1+N('Min gæld'!$D$12)/12))</f>
        <v>0</v>
      </c>
      <c r="AH218" s="27" t="n">
        <f aca="false">IF(AG218&lt;=0,0,MIN(AG218,N('Min gæld'!$E$12)+AF218))</f>
        <v>0</v>
      </c>
      <c r="AI218" s="27" t="n">
        <f aca="false">IF(AG218-AH218&lt;0.005,0,AG218-AH218)</f>
        <v>0</v>
      </c>
      <c r="AJ218" s="27" t="n">
        <f aca="false">G218+K218+O218+S218+W218+AA218+AE218+AI218</f>
        <v>0</v>
      </c>
      <c r="AK218" s="28" t="n">
        <f aca="false">IF(E218&gt;0,E218-N(G217),0)+IF(I218&gt;0,I218-N(K217),0)+IF(M218&gt;0,M218-N(O217),0)+IF(Q218&gt;0,Q218-N(S217),0)+IF(U218&gt;0,U218-N(W217),0)+IF(Y218&gt;0,Y218-N(AA217),0)+IF(AC218&gt;0,AC218-N(AE217),0)+IF(AG218&gt;0,AG218-N(AI217),0)</f>
        <v>0</v>
      </c>
    </row>
    <row r="219" customFormat="false" ht="15" hidden="false" customHeight="false" outlineLevel="0" collapsed="false">
      <c r="A219" s="25" t="n">
        <v>214</v>
      </c>
      <c r="B219" s="26" t="n">
        <f aca="false">EDATE('Min gæld'!$C$16,213)</f>
        <v>52871</v>
      </c>
      <c r="C219" s="27" t="n">
        <f aca="false">N('Min gæld'!$C$15)+IF(N(G218)&lt;=0.005,N('Min gæld'!$E$5),0)+IF(N(K218)&lt;=0.005,N('Min gæld'!$E$6),0)+IF(N(O218)&lt;=0.005,N('Min gæld'!$E$7),0)+IF(N(S218)&lt;=0.005,N('Min gæld'!$E$8),0)+IF(N(W218)&lt;=0.005,N('Min gæld'!$E$9),0)+IF(N(AA218)&lt;=0.005,N('Min gæld'!$E$10),0)+IF(N(AE218)&lt;=0.005,N('Min gæld'!$E$11),0)+IF(N(AI218)&lt;=0.005,N('Min gæld'!$E$12),0)</f>
        <v>4800</v>
      </c>
      <c r="D219" s="27" t="n">
        <f aca="false">MAX(0,C219)</f>
        <v>4800</v>
      </c>
      <c r="E219" s="27" t="n">
        <f aca="false">IF(N(G218)&lt;=0.005,0,N(G218)*(1+N('Min gæld'!$D$5)/12))</f>
        <v>0</v>
      </c>
      <c r="F219" s="27" t="n">
        <f aca="false">IF(E219&lt;=0,0,MIN(E219,N('Min gæld'!$E$5)+D219))</f>
        <v>0</v>
      </c>
      <c r="G219" s="27" t="n">
        <f aca="false">IF(E219-F219&lt;0.005,0,E219-F219)</f>
        <v>0</v>
      </c>
      <c r="H219" s="27" t="n">
        <f aca="false">MAX(0,IF(N(G218)&lt;=0.005,D219,D219+N('Min gæld'!$E$5)-F219))</f>
        <v>4800</v>
      </c>
      <c r="I219" s="27" t="n">
        <f aca="false">IF(N(K218)&lt;=0.005,0,N(K218)*(1+N('Min gæld'!$D$6)/12))</f>
        <v>0</v>
      </c>
      <c r="J219" s="27" t="n">
        <f aca="false">IF(I219&lt;=0,0,MIN(I219,N('Min gæld'!$E$6)+H219))</f>
        <v>0</v>
      </c>
      <c r="K219" s="27" t="n">
        <f aca="false">IF(I219-J219&lt;0.005,0,I219-J219)</f>
        <v>0</v>
      </c>
      <c r="L219" s="27" t="n">
        <f aca="false">MAX(0,IF(N(K218)&lt;=0.005,H219,H219+N('Min gæld'!$E$6)-J219))</f>
        <v>4800</v>
      </c>
      <c r="M219" s="27" t="n">
        <f aca="false">IF(N(O218)&lt;=0.005,0,N(O218)*(1+N('Min gæld'!$D$7)/12))</f>
        <v>0</v>
      </c>
      <c r="N219" s="27" t="n">
        <f aca="false">IF(M219&lt;=0,0,MIN(M219,N('Min gæld'!$E$7)+L219))</f>
        <v>0</v>
      </c>
      <c r="O219" s="27" t="n">
        <f aca="false">IF(M219-N219&lt;0.005,0,M219-N219)</f>
        <v>0</v>
      </c>
      <c r="P219" s="27" t="n">
        <f aca="false">MAX(0,IF(N(O218)&lt;=0.005,L219,L219+N('Min gæld'!$E$7)-N219))</f>
        <v>4800</v>
      </c>
      <c r="Q219" s="27" t="n">
        <f aca="false">IF(N(S218)&lt;=0.005,0,N(S218)*(1+N('Min gæld'!$D$8)/12))</f>
        <v>0</v>
      </c>
      <c r="R219" s="27" t="n">
        <f aca="false">IF(Q219&lt;=0,0,MIN(Q219,N('Min gæld'!$E$8)+P219))</f>
        <v>0</v>
      </c>
      <c r="S219" s="27" t="n">
        <f aca="false">IF(Q219-R219&lt;0.005,0,Q219-R219)</f>
        <v>0</v>
      </c>
      <c r="T219" s="27" t="n">
        <f aca="false">MAX(0,IF(N(S218)&lt;=0.005,P219,P219+N('Min gæld'!$E$8)-R219))</f>
        <v>4800</v>
      </c>
      <c r="U219" s="27" t="n">
        <f aca="false">IF(N(W218)&lt;=0.005,0,N(W218)*(1+N('Min gæld'!$D$9)/12))</f>
        <v>0</v>
      </c>
      <c r="V219" s="27" t="n">
        <f aca="false">IF(U219&lt;=0,0,MIN(U219,N('Min gæld'!$E$9)+T219))</f>
        <v>0</v>
      </c>
      <c r="W219" s="27" t="n">
        <f aca="false">IF(U219-V219&lt;0.005,0,U219-V219)</f>
        <v>0</v>
      </c>
      <c r="X219" s="27" t="n">
        <f aca="false">MAX(0,IF(N(W218)&lt;=0.005,T219,T219+N('Min gæld'!$E$9)-V219))</f>
        <v>4800</v>
      </c>
      <c r="Y219" s="27" t="n">
        <f aca="false">IF(N(AA218)&lt;=0.005,0,N(AA218)*(1+N('Min gæld'!$D$10)/12))</f>
        <v>0</v>
      </c>
      <c r="Z219" s="27" t="n">
        <f aca="false">IF(Y219&lt;=0,0,MIN(Y219,N('Min gæld'!$E$10)+X219))</f>
        <v>0</v>
      </c>
      <c r="AA219" s="27" t="n">
        <f aca="false">IF(Y219-Z219&lt;0.005,0,Y219-Z219)</f>
        <v>0</v>
      </c>
      <c r="AB219" s="27" t="n">
        <f aca="false">MAX(0,IF(N(AA218)&lt;=0.005,X219,X219+N('Min gæld'!$E$10)-Z219))</f>
        <v>4800</v>
      </c>
      <c r="AC219" s="27" t="n">
        <f aca="false">IF(N(AE218)&lt;=0.005,0,N(AE218)*(1+N('Min gæld'!$D$11)/12))</f>
        <v>0</v>
      </c>
      <c r="AD219" s="27" t="n">
        <f aca="false">IF(AC219&lt;=0,0,MIN(AC219,N('Min gæld'!$E$11)+AB219))</f>
        <v>0</v>
      </c>
      <c r="AE219" s="27" t="n">
        <f aca="false">IF(AC219-AD219&lt;0.005,0,AC219-AD219)</f>
        <v>0</v>
      </c>
      <c r="AF219" s="27" t="n">
        <f aca="false">MAX(0,IF(N(AE218)&lt;=0.005,AB219,AB219+N('Min gæld'!$E$11)-AD219))</f>
        <v>4800</v>
      </c>
      <c r="AG219" s="27" t="n">
        <f aca="false">IF(N(AI218)&lt;=0.005,0,N(AI218)*(1+N('Min gæld'!$D$12)/12))</f>
        <v>0</v>
      </c>
      <c r="AH219" s="27" t="n">
        <f aca="false">IF(AG219&lt;=0,0,MIN(AG219,N('Min gæld'!$E$12)+AF219))</f>
        <v>0</v>
      </c>
      <c r="AI219" s="27" t="n">
        <f aca="false">IF(AG219-AH219&lt;0.005,0,AG219-AH219)</f>
        <v>0</v>
      </c>
      <c r="AJ219" s="27" t="n">
        <f aca="false">G219+K219+O219+S219+W219+AA219+AE219+AI219</f>
        <v>0</v>
      </c>
      <c r="AK219" s="28" t="n">
        <f aca="false">IF(E219&gt;0,E219-N(G218),0)+IF(I219&gt;0,I219-N(K218),0)+IF(M219&gt;0,M219-N(O218),0)+IF(Q219&gt;0,Q219-N(S218),0)+IF(U219&gt;0,U219-N(W218),0)+IF(Y219&gt;0,Y219-N(AA218),0)+IF(AC219&gt;0,AC219-N(AE218),0)+IF(AG219&gt;0,AG219-N(AI218),0)</f>
        <v>0</v>
      </c>
    </row>
    <row r="220" customFormat="false" ht="15" hidden="false" customHeight="false" outlineLevel="0" collapsed="false">
      <c r="A220" s="25" t="n">
        <v>215</v>
      </c>
      <c r="B220" s="26" t="n">
        <f aca="false">EDATE('Min gæld'!$C$16,214)</f>
        <v>52902</v>
      </c>
      <c r="C220" s="27" t="n">
        <f aca="false">N('Min gæld'!$C$15)+IF(N(G219)&lt;=0.005,N('Min gæld'!$E$5),0)+IF(N(K219)&lt;=0.005,N('Min gæld'!$E$6),0)+IF(N(O219)&lt;=0.005,N('Min gæld'!$E$7),0)+IF(N(S219)&lt;=0.005,N('Min gæld'!$E$8),0)+IF(N(W219)&lt;=0.005,N('Min gæld'!$E$9),0)+IF(N(AA219)&lt;=0.005,N('Min gæld'!$E$10),0)+IF(N(AE219)&lt;=0.005,N('Min gæld'!$E$11),0)+IF(N(AI219)&lt;=0.005,N('Min gæld'!$E$12),0)</f>
        <v>4800</v>
      </c>
      <c r="D220" s="27" t="n">
        <f aca="false">MAX(0,C220)</f>
        <v>4800</v>
      </c>
      <c r="E220" s="27" t="n">
        <f aca="false">IF(N(G219)&lt;=0.005,0,N(G219)*(1+N('Min gæld'!$D$5)/12))</f>
        <v>0</v>
      </c>
      <c r="F220" s="27" t="n">
        <f aca="false">IF(E220&lt;=0,0,MIN(E220,N('Min gæld'!$E$5)+D220))</f>
        <v>0</v>
      </c>
      <c r="G220" s="27" t="n">
        <f aca="false">IF(E220-F220&lt;0.005,0,E220-F220)</f>
        <v>0</v>
      </c>
      <c r="H220" s="27" t="n">
        <f aca="false">MAX(0,IF(N(G219)&lt;=0.005,D220,D220+N('Min gæld'!$E$5)-F220))</f>
        <v>4800</v>
      </c>
      <c r="I220" s="27" t="n">
        <f aca="false">IF(N(K219)&lt;=0.005,0,N(K219)*(1+N('Min gæld'!$D$6)/12))</f>
        <v>0</v>
      </c>
      <c r="J220" s="27" t="n">
        <f aca="false">IF(I220&lt;=0,0,MIN(I220,N('Min gæld'!$E$6)+H220))</f>
        <v>0</v>
      </c>
      <c r="K220" s="27" t="n">
        <f aca="false">IF(I220-J220&lt;0.005,0,I220-J220)</f>
        <v>0</v>
      </c>
      <c r="L220" s="27" t="n">
        <f aca="false">MAX(0,IF(N(K219)&lt;=0.005,H220,H220+N('Min gæld'!$E$6)-J220))</f>
        <v>4800</v>
      </c>
      <c r="M220" s="27" t="n">
        <f aca="false">IF(N(O219)&lt;=0.005,0,N(O219)*(1+N('Min gæld'!$D$7)/12))</f>
        <v>0</v>
      </c>
      <c r="N220" s="27" t="n">
        <f aca="false">IF(M220&lt;=0,0,MIN(M220,N('Min gæld'!$E$7)+L220))</f>
        <v>0</v>
      </c>
      <c r="O220" s="27" t="n">
        <f aca="false">IF(M220-N220&lt;0.005,0,M220-N220)</f>
        <v>0</v>
      </c>
      <c r="P220" s="27" t="n">
        <f aca="false">MAX(0,IF(N(O219)&lt;=0.005,L220,L220+N('Min gæld'!$E$7)-N220))</f>
        <v>4800</v>
      </c>
      <c r="Q220" s="27" t="n">
        <f aca="false">IF(N(S219)&lt;=0.005,0,N(S219)*(1+N('Min gæld'!$D$8)/12))</f>
        <v>0</v>
      </c>
      <c r="R220" s="27" t="n">
        <f aca="false">IF(Q220&lt;=0,0,MIN(Q220,N('Min gæld'!$E$8)+P220))</f>
        <v>0</v>
      </c>
      <c r="S220" s="27" t="n">
        <f aca="false">IF(Q220-R220&lt;0.005,0,Q220-R220)</f>
        <v>0</v>
      </c>
      <c r="T220" s="27" t="n">
        <f aca="false">MAX(0,IF(N(S219)&lt;=0.005,P220,P220+N('Min gæld'!$E$8)-R220))</f>
        <v>4800</v>
      </c>
      <c r="U220" s="27" t="n">
        <f aca="false">IF(N(W219)&lt;=0.005,0,N(W219)*(1+N('Min gæld'!$D$9)/12))</f>
        <v>0</v>
      </c>
      <c r="V220" s="27" t="n">
        <f aca="false">IF(U220&lt;=0,0,MIN(U220,N('Min gæld'!$E$9)+T220))</f>
        <v>0</v>
      </c>
      <c r="W220" s="27" t="n">
        <f aca="false">IF(U220-V220&lt;0.005,0,U220-V220)</f>
        <v>0</v>
      </c>
      <c r="X220" s="27" t="n">
        <f aca="false">MAX(0,IF(N(W219)&lt;=0.005,T220,T220+N('Min gæld'!$E$9)-V220))</f>
        <v>4800</v>
      </c>
      <c r="Y220" s="27" t="n">
        <f aca="false">IF(N(AA219)&lt;=0.005,0,N(AA219)*(1+N('Min gæld'!$D$10)/12))</f>
        <v>0</v>
      </c>
      <c r="Z220" s="27" t="n">
        <f aca="false">IF(Y220&lt;=0,0,MIN(Y220,N('Min gæld'!$E$10)+X220))</f>
        <v>0</v>
      </c>
      <c r="AA220" s="27" t="n">
        <f aca="false">IF(Y220-Z220&lt;0.005,0,Y220-Z220)</f>
        <v>0</v>
      </c>
      <c r="AB220" s="27" t="n">
        <f aca="false">MAX(0,IF(N(AA219)&lt;=0.005,X220,X220+N('Min gæld'!$E$10)-Z220))</f>
        <v>4800</v>
      </c>
      <c r="AC220" s="27" t="n">
        <f aca="false">IF(N(AE219)&lt;=0.005,0,N(AE219)*(1+N('Min gæld'!$D$11)/12))</f>
        <v>0</v>
      </c>
      <c r="AD220" s="27" t="n">
        <f aca="false">IF(AC220&lt;=0,0,MIN(AC220,N('Min gæld'!$E$11)+AB220))</f>
        <v>0</v>
      </c>
      <c r="AE220" s="27" t="n">
        <f aca="false">IF(AC220-AD220&lt;0.005,0,AC220-AD220)</f>
        <v>0</v>
      </c>
      <c r="AF220" s="27" t="n">
        <f aca="false">MAX(0,IF(N(AE219)&lt;=0.005,AB220,AB220+N('Min gæld'!$E$11)-AD220))</f>
        <v>4800</v>
      </c>
      <c r="AG220" s="27" t="n">
        <f aca="false">IF(N(AI219)&lt;=0.005,0,N(AI219)*(1+N('Min gæld'!$D$12)/12))</f>
        <v>0</v>
      </c>
      <c r="AH220" s="27" t="n">
        <f aca="false">IF(AG220&lt;=0,0,MIN(AG220,N('Min gæld'!$E$12)+AF220))</f>
        <v>0</v>
      </c>
      <c r="AI220" s="27" t="n">
        <f aca="false">IF(AG220-AH220&lt;0.005,0,AG220-AH220)</f>
        <v>0</v>
      </c>
      <c r="AJ220" s="27" t="n">
        <f aca="false">G220+K220+O220+S220+W220+AA220+AE220+AI220</f>
        <v>0</v>
      </c>
      <c r="AK220" s="28" t="n">
        <f aca="false">IF(E220&gt;0,E220-N(G219),0)+IF(I220&gt;0,I220-N(K219),0)+IF(M220&gt;0,M220-N(O219),0)+IF(Q220&gt;0,Q220-N(S219),0)+IF(U220&gt;0,U220-N(W219),0)+IF(Y220&gt;0,Y220-N(AA219),0)+IF(AC220&gt;0,AC220-N(AE219),0)+IF(AG220&gt;0,AG220-N(AI219),0)</f>
        <v>0</v>
      </c>
    </row>
    <row r="221" customFormat="false" ht="15" hidden="false" customHeight="false" outlineLevel="0" collapsed="false">
      <c r="A221" s="25" t="n">
        <v>216</v>
      </c>
      <c r="B221" s="26" t="n">
        <f aca="false">EDATE('Min gæld'!$C$16,215)</f>
        <v>52932</v>
      </c>
      <c r="C221" s="27" t="n">
        <f aca="false">N('Min gæld'!$C$15)+IF(N(G220)&lt;=0.005,N('Min gæld'!$E$5),0)+IF(N(K220)&lt;=0.005,N('Min gæld'!$E$6),0)+IF(N(O220)&lt;=0.005,N('Min gæld'!$E$7),0)+IF(N(S220)&lt;=0.005,N('Min gæld'!$E$8),0)+IF(N(W220)&lt;=0.005,N('Min gæld'!$E$9),0)+IF(N(AA220)&lt;=0.005,N('Min gæld'!$E$10),0)+IF(N(AE220)&lt;=0.005,N('Min gæld'!$E$11),0)+IF(N(AI220)&lt;=0.005,N('Min gæld'!$E$12),0)</f>
        <v>4800</v>
      </c>
      <c r="D221" s="27" t="n">
        <f aca="false">MAX(0,C221)</f>
        <v>4800</v>
      </c>
      <c r="E221" s="27" t="n">
        <f aca="false">IF(N(G220)&lt;=0.005,0,N(G220)*(1+N('Min gæld'!$D$5)/12))</f>
        <v>0</v>
      </c>
      <c r="F221" s="27" t="n">
        <f aca="false">IF(E221&lt;=0,0,MIN(E221,N('Min gæld'!$E$5)+D221))</f>
        <v>0</v>
      </c>
      <c r="G221" s="27" t="n">
        <f aca="false">IF(E221-F221&lt;0.005,0,E221-F221)</f>
        <v>0</v>
      </c>
      <c r="H221" s="27" t="n">
        <f aca="false">MAX(0,IF(N(G220)&lt;=0.005,D221,D221+N('Min gæld'!$E$5)-F221))</f>
        <v>4800</v>
      </c>
      <c r="I221" s="27" t="n">
        <f aca="false">IF(N(K220)&lt;=0.005,0,N(K220)*(1+N('Min gæld'!$D$6)/12))</f>
        <v>0</v>
      </c>
      <c r="J221" s="27" t="n">
        <f aca="false">IF(I221&lt;=0,0,MIN(I221,N('Min gæld'!$E$6)+H221))</f>
        <v>0</v>
      </c>
      <c r="K221" s="27" t="n">
        <f aca="false">IF(I221-J221&lt;0.005,0,I221-J221)</f>
        <v>0</v>
      </c>
      <c r="L221" s="27" t="n">
        <f aca="false">MAX(0,IF(N(K220)&lt;=0.005,H221,H221+N('Min gæld'!$E$6)-J221))</f>
        <v>4800</v>
      </c>
      <c r="M221" s="27" t="n">
        <f aca="false">IF(N(O220)&lt;=0.005,0,N(O220)*(1+N('Min gæld'!$D$7)/12))</f>
        <v>0</v>
      </c>
      <c r="N221" s="27" t="n">
        <f aca="false">IF(M221&lt;=0,0,MIN(M221,N('Min gæld'!$E$7)+L221))</f>
        <v>0</v>
      </c>
      <c r="O221" s="27" t="n">
        <f aca="false">IF(M221-N221&lt;0.005,0,M221-N221)</f>
        <v>0</v>
      </c>
      <c r="P221" s="27" t="n">
        <f aca="false">MAX(0,IF(N(O220)&lt;=0.005,L221,L221+N('Min gæld'!$E$7)-N221))</f>
        <v>4800</v>
      </c>
      <c r="Q221" s="27" t="n">
        <f aca="false">IF(N(S220)&lt;=0.005,0,N(S220)*(1+N('Min gæld'!$D$8)/12))</f>
        <v>0</v>
      </c>
      <c r="R221" s="27" t="n">
        <f aca="false">IF(Q221&lt;=0,0,MIN(Q221,N('Min gæld'!$E$8)+P221))</f>
        <v>0</v>
      </c>
      <c r="S221" s="27" t="n">
        <f aca="false">IF(Q221-R221&lt;0.005,0,Q221-R221)</f>
        <v>0</v>
      </c>
      <c r="T221" s="27" t="n">
        <f aca="false">MAX(0,IF(N(S220)&lt;=0.005,P221,P221+N('Min gæld'!$E$8)-R221))</f>
        <v>4800</v>
      </c>
      <c r="U221" s="27" t="n">
        <f aca="false">IF(N(W220)&lt;=0.005,0,N(W220)*(1+N('Min gæld'!$D$9)/12))</f>
        <v>0</v>
      </c>
      <c r="V221" s="27" t="n">
        <f aca="false">IF(U221&lt;=0,0,MIN(U221,N('Min gæld'!$E$9)+T221))</f>
        <v>0</v>
      </c>
      <c r="W221" s="27" t="n">
        <f aca="false">IF(U221-V221&lt;0.005,0,U221-V221)</f>
        <v>0</v>
      </c>
      <c r="X221" s="27" t="n">
        <f aca="false">MAX(0,IF(N(W220)&lt;=0.005,T221,T221+N('Min gæld'!$E$9)-V221))</f>
        <v>4800</v>
      </c>
      <c r="Y221" s="27" t="n">
        <f aca="false">IF(N(AA220)&lt;=0.005,0,N(AA220)*(1+N('Min gæld'!$D$10)/12))</f>
        <v>0</v>
      </c>
      <c r="Z221" s="27" t="n">
        <f aca="false">IF(Y221&lt;=0,0,MIN(Y221,N('Min gæld'!$E$10)+X221))</f>
        <v>0</v>
      </c>
      <c r="AA221" s="27" t="n">
        <f aca="false">IF(Y221-Z221&lt;0.005,0,Y221-Z221)</f>
        <v>0</v>
      </c>
      <c r="AB221" s="27" t="n">
        <f aca="false">MAX(0,IF(N(AA220)&lt;=0.005,X221,X221+N('Min gæld'!$E$10)-Z221))</f>
        <v>4800</v>
      </c>
      <c r="AC221" s="27" t="n">
        <f aca="false">IF(N(AE220)&lt;=0.005,0,N(AE220)*(1+N('Min gæld'!$D$11)/12))</f>
        <v>0</v>
      </c>
      <c r="AD221" s="27" t="n">
        <f aca="false">IF(AC221&lt;=0,0,MIN(AC221,N('Min gæld'!$E$11)+AB221))</f>
        <v>0</v>
      </c>
      <c r="AE221" s="27" t="n">
        <f aca="false">IF(AC221-AD221&lt;0.005,0,AC221-AD221)</f>
        <v>0</v>
      </c>
      <c r="AF221" s="27" t="n">
        <f aca="false">MAX(0,IF(N(AE220)&lt;=0.005,AB221,AB221+N('Min gæld'!$E$11)-AD221))</f>
        <v>4800</v>
      </c>
      <c r="AG221" s="27" t="n">
        <f aca="false">IF(N(AI220)&lt;=0.005,0,N(AI220)*(1+N('Min gæld'!$D$12)/12))</f>
        <v>0</v>
      </c>
      <c r="AH221" s="27" t="n">
        <f aca="false">IF(AG221&lt;=0,0,MIN(AG221,N('Min gæld'!$E$12)+AF221))</f>
        <v>0</v>
      </c>
      <c r="AI221" s="27" t="n">
        <f aca="false">IF(AG221-AH221&lt;0.005,0,AG221-AH221)</f>
        <v>0</v>
      </c>
      <c r="AJ221" s="27" t="n">
        <f aca="false">G221+K221+O221+S221+W221+AA221+AE221+AI221</f>
        <v>0</v>
      </c>
      <c r="AK221" s="28" t="n">
        <f aca="false">IF(E221&gt;0,E221-N(G220),0)+IF(I221&gt;0,I221-N(K220),0)+IF(M221&gt;0,M221-N(O220),0)+IF(Q221&gt;0,Q221-N(S220),0)+IF(U221&gt;0,U221-N(W220),0)+IF(Y221&gt;0,Y221-N(AA220),0)+IF(AC221&gt;0,AC221-N(AE220),0)+IF(AG221&gt;0,AG221-N(AI220),0)</f>
        <v>0</v>
      </c>
    </row>
    <row r="222" customFormat="false" ht="15" hidden="false" customHeight="false" outlineLevel="0" collapsed="false">
      <c r="A222" s="25" t="n">
        <v>217</v>
      </c>
      <c r="B222" s="26" t="n">
        <f aca="false">EDATE('Min gæld'!$C$16,216)</f>
        <v>52963</v>
      </c>
      <c r="C222" s="27" t="n">
        <f aca="false">N('Min gæld'!$C$15)+IF(N(G221)&lt;=0.005,N('Min gæld'!$E$5),0)+IF(N(K221)&lt;=0.005,N('Min gæld'!$E$6),0)+IF(N(O221)&lt;=0.005,N('Min gæld'!$E$7),0)+IF(N(S221)&lt;=0.005,N('Min gæld'!$E$8),0)+IF(N(W221)&lt;=0.005,N('Min gæld'!$E$9),0)+IF(N(AA221)&lt;=0.005,N('Min gæld'!$E$10),0)+IF(N(AE221)&lt;=0.005,N('Min gæld'!$E$11),0)+IF(N(AI221)&lt;=0.005,N('Min gæld'!$E$12),0)</f>
        <v>4800</v>
      </c>
      <c r="D222" s="27" t="n">
        <f aca="false">MAX(0,C222)</f>
        <v>4800</v>
      </c>
      <c r="E222" s="27" t="n">
        <f aca="false">IF(N(G221)&lt;=0.005,0,N(G221)*(1+N('Min gæld'!$D$5)/12))</f>
        <v>0</v>
      </c>
      <c r="F222" s="27" t="n">
        <f aca="false">IF(E222&lt;=0,0,MIN(E222,N('Min gæld'!$E$5)+D222))</f>
        <v>0</v>
      </c>
      <c r="G222" s="27" t="n">
        <f aca="false">IF(E222-F222&lt;0.005,0,E222-F222)</f>
        <v>0</v>
      </c>
      <c r="H222" s="27" t="n">
        <f aca="false">MAX(0,IF(N(G221)&lt;=0.005,D222,D222+N('Min gæld'!$E$5)-F222))</f>
        <v>4800</v>
      </c>
      <c r="I222" s="27" t="n">
        <f aca="false">IF(N(K221)&lt;=0.005,0,N(K221)*(1+N('Min gæld'!$D$6)/12))</f>
        <v>0</v>
      </c>
      <c r="J222" s="27" t="n">
        <f aca="false">IF(I222&lt;=0,0,MIN(I222,N('Min gæld'!$E$6)+H222))</f>
        <v>0</v>
      </c>
      <c r="K222" s="27" t="n">
        <f aca="false">IF(I222-J222&lt;0.005,0,I222-J222)</f>
        <v>0</v>
      </c>
      <c r="L222" s="27" t="n">
        <f aca="false">MAX(0,IF(N(K221)&lt;=0.005,H222,H222+N('Min gæld'!$E$6)-J222))</f>
        <v>4800</v>
      </c>
      <c r="M222" s="27" t="n">
        <f aca="false">IF(N(O221)&lt;=0.005,0,N(O221)*(1+N('Min gæld'!$D$7)/12))</f>
        <v>0</v>
      </c>
      <c r="N222" s="27" t="n">
        <f aca="false">IF(M222&lt;=0,0,MIN(M222,N('Min gæld'!$E$7)+L222))</f>
        <v>0</v>
      </c>
      <c r="O222" s="27" t="n">
        <f aca="false">IF(M222-N222&lt;0.005,0,M222-N222)</f>
        <v>0</v>
      </c>
      <c r="P222" s="27" t="n">
        <f aca="false">MAX(0,IF(N(O221)&lt;=0.005,L222,L222+N('Min gæld'!$E$7)-N222))</f>
        <v>4800</v>
      </c>
      <c r="Q222" s="27" t="n">
        <f aca="false">IF(N(S221)&lt;=0.005,0,N(S221)*(1+N('Min gæld'!$D$8)/12))</f>
        <v>0</v>
      </c>
      <c r="R222" s="27" t="n">
        <f aca="false">IF(Q222&lt;=0,0,MIN(Q222,N('Min gæld'!$E$8)+P222))</f>
        <v>0</v>
      </c>
      <c r="S222" s="27" t="n">
        <f aca="false">IF(Q222-R222&lt;0.005,0,Q222-R222)</f>
        <v>0</v>
      </c>
      <c r="T222" s="27" t="n">
        <f aca="false">MAX(0,IF(N(S221)&lt;=0.005,P222,P222+N('Min gæld'!$E$8)-R222))</f>
        <v>4800</v>
      </c>
      <c r="U222" s="27" t="n">
        <f aca="false">IF(N(W221)&lt;=0.005,0,N(W221)*(1+N('Min gæld'!$D$9)/12))</f>
        <v>0</v>
      </c>
      <c r="V222" s="27" t="n">
        <f aca="false">IF(U222&lt;=0,0,MIN(U222,N('Min gæld'!$E$9)+T222))</f>
        <v>0</v>
      </c>
      <c r="W222" s="27" t="n">
        <f aca="false">IF(U222-V222&lt;0.005,0,U222-V222)</f>
        <v>0</v>
      </c>
      <c r="X222" s="27" t="n">
        <f aca="false">MAX(0,IF(N(W221)&lt;=0.005,T222,T222+N('Min gæld'!$E$9)-V222))</f>
        <v>4800</v>
      </c>
      <c r="Y222" s="27" t="n">
        <f aca="false">IF(N(AA221)&lt;=0.005,0,N(AA221)*(1+N('Min gæld'!$D$10)/12))</f>
        <v>0</v>
      </c>
      <c r="Z222" s="27" t="n">
        <f aca="false">IF(Y222&lt;=0,0,MIN(Y222,N('Min gæld'!$E$10)+X222))</f>
        <v>0</v>
      </c>
      <c r="AA222" s="27" t="n">
        <f aca="false">IF(Y222-Z222&lt;0.005,0,Y222-Z222)</f>
        <v>0</v>
      </c>
      <c r="AB222" s="27" t="n">
        <f aca="false">MAX(0,IF(N(AA221)&lt;=0.005,X222,X222+N('Min gæld'!$E$10)-Z222))</f>
        <v>4800</v>
      </c>
      <c r="AC222" s="27" t="n">
        <f aca="false">IF(N(AE221)&lt;=0.005,0,N(AE221)*(1+N('Min gæld'!$D$11)/12))</f>
        <v>0</v>
      </c>
      <c r="AD222" s="27" t="n">
        <f aca="false">IF(AC222&lt;=0,0,MIN(AC222,N('Min gæld'!$E$11)+AB222))</f>
        <v>0</v>
      </c>
      <c r="AE222" s="27" t="n">
        <f aca="false">IF(AC222-AD222&lt;0.005,0,AC222-AD222)</f>
        <v>0</v>
      </c>
      <c r="AF222" s="27" t="n">
        <f aca="false">MAX(0,IF(N(AE221)&lt;=0.005,AB222,AB222+N('Min gæld'!$E$11)-AD222))</f>
        <v>4800</v>
      </c>
      <c r="AG222" s="27" t="n">
        <f aca="false">IF(N(AI221)&lt;=0.005,0,N(AI221)*(1+N('Min gæld'!$D$12)/12))</f>
        <v>0</v>
      </c>
      <c r="AH222" s="27" t="n">
        <f aca="false">IF(AG222&lt;=0,0,MIN(AG222,N('Min gæld'!$E$12)+AF222))</f>
        <v>0</v>
      </c>
      <c r="AI222" s="27" t="n">
        <f aca="false">IF(AG222-AH222&lt;0.005,0,AG222-AH222)</f>
        <v>0</v>
      </c>
      <c r="AJ222" s="27" t="n">
        <f aca="false">G222+K222+O222+S222+W222+AA222+AE222+AI222</f>
        <v>0</v>
      </c>
      <c r="AK222" s="28" t="n">
        <f aca="false">IF(E222&gt;0,E222-N(G221),0)+IF(I222&gt;0,I222-N(K221),0)+IF(M222&gt;0,M222-N(O221),0)+IF(Q222&gt;0,Q222-N(S221),0)+IF(U222&gt;0,U222-N(W221),0)+IF(Y222&gt;0,Y222-N(AA221),0)+IF(AC222&gt;0,AC222-N(AE221),0)+IF(AG222&gt;0,AG222-N(AI221),0)</f>
        <v>0</v>
      </c>
    </row>
    <row r="223" customFormat="false" ht="15" hidden="false" customHeight="false" outlineLevel="0" collapsed="false">
      <c r="A223" s="25" t="n">
        <v>218</v>
      </c>
      <c r="B223" s="26" t="n">
        <f aca="false">EDATE('Min gæld'!$C$16,217)</f>
        <v>52994</v>
      </c>
      <c r="C223" s="27" t="n">
        <f aca="false">N('Min gæld'!$C$15)+IF(N(G222)&lt;=0.005,N('Min gæld'!$E$5),0)+IF(N(K222)&lt;=0.005,N('Min gæld'!$E$6),0)+IF(N(O222)&lt;=0.005,N('Min gæld'!$E$7),0)+IF(N(S222)&lt;=0.005,N('Min gæld'!$E$8),0)+IF(N(W222)&lt;=0.005,N('Min gæld'!$E$9),0)+IF(N(AA222)&lt;=0.005,N('Min gæld'!$E$10),0)+IF(N(AE222)&lt;=0.005,N('Min gæld'!$E$11),0)+IF(N(AI222)&lt;=0.005,N('Min gæld'!$E$12),0)</f>
        <v>4800</v>
      </c>
      <c r="D223" s="27" t="n">
        <f aca="false">MAX(0,C223)</f>
        <v>4800</v>
      </c>
      <c r="E223" s="27" t="n">
        <f aca="false">IF(N(G222)&lt;=0.005,0,N(G222)*(1+N('Min gæld'!$D$5)/12))</f>
        <v>0</v>
      </c>
      <c r="F223" s="27" t="n">
        <f aca="false">IF(E223&lt;=0,0,MIN(E223,N('Min gæld'!$E$5)+D223))</f>
        <v>0</v>
      </c>
      <c r="G223" s="27" t="n">
        <f aca="false">IF(E223-F223&lt;0.005,0,E223-F223)</f>
        <v>0</v>
      </c>
      <c r="H223" s="27" t="n">
        <f aca="false">MAX(0,IF(N(G222)&lt;=0.005,D223,D223+N('Min gæld'!$E$5)-F223))</f>
        <v>4800</v>
      </c>
      <c r="I223" s="27" t="n">
        <f aca="false">IF(N(K222)&lt;=0.005,0,N(K222)*(1+N('Min gæld'!$D$6)/12))</f>
        <v>0</v>
      </c>
      <c r="J223" s="27" t="n">
        <f aca="false">IF(I223&lt;=0,0,MIN(I223,N('Min gæld'!$E$6)+H223))</f>
        <v>0</v>
      </c>
      <c r="K223" s="27" t="n">
        <f aca="false">IF(I223-J223&lt;0.005,0,I223-J223)</f>
        <v>0</v>
      </c>
      <c r="L223" s="27" t="n">
        <f aca="false">MAX(0,IF(N(K222)&lt;=0.005,H223,H223+N('Min gæld'!$E$6)-J223))</f>
        <v>4800</v>
      </c>
      <c r="M223" s="27" t="n">
        <f aca="false">IF(N(O222)&lt;=0.005,0,N(O222)*(1+N('Min gæld'!$D$7)/12))</f>
        <v>0</v>
      </c>
      <c r="N223" s="27" t="n">
        <f aca="false">IF(M223&lt;=0,0,MIN(M223,N('Min gæld'!$E$7)+L223))</f>
        <v>0</v>
      </c>
      <c r="O223" s="27" t="n">
        <f aca="false">IF(M223-N223&lt;0.005,0,M223-N223)</f>
        <v>0</v>
      </c>
      <c r="P223" s="27" t="n">
        <f aca="false">MAX(0,IF(N(O222)&lt;=0.005,L223,L223+N('Min gæld'!$E$7)-N223))</f>
        <v>4800</v>
      </c>
      <c r="Q223" s="27" t="n">
        <f aca="false">IF(N(S222)&lt;=0.005,0,N(S222)*(1+N('Min gæld'!$D$8)/12))</f>
        <v>0</v>
      </c>
      <c r="R223" s="27" t="n">
        <f aca="false">IF(Q223&lt;=0,0,MIN(Q223,N('Min gæld'!$E$8)+P223))</f>
        <v>0</v>
      </c>
      <c r="S223" s="27" t="n">
        <f aca="false">IF(Q223-R223&lt;0.005,0,Q223-R223)</f>
        <v>0</v>
      </c>
      <c r="T223" s="27" t="n">
        <f aca="false">MAX(0,IF(N(S222)&lt;=0.005,P223,P223+N('Min gæld'!$E$8)-R223))</f>
        <v>4800</v>
      </c>
      <c r="U223" s="27" t="n">
        <f aca="false">IF(N(W222)&lt;=0.005,0,N(W222)*(1+N('Min gæld'!$D$9)/12))</f>
        <v>0</v>
      </c>
      <c r="V223" s="27" t="n">
        <f aca="false">IF(U223&lt;=0,0,MIN(U223,N('Min gæld'!$E$9)+T223))</f>
        <v>0</v>
      </c>
      <c r="W223" s="27" t="n">
        <f aca="false">IF(U223-V223&lt;0.005,0,U223-V223)</f>
        <v>0</v>
      </c>
      <c r="X223" s="27" t="n">
        <f aca="false">MAX(0,IF(N(W222)&lt;=0.005,T223,T223+N('Min gæld'!$E$9)-V223))</f>
        <v>4800</v>
      </c>
      <c r="Y223" s="27" t="n">
        <f aca="false">IF(N(AA222)&lt;=0.005,0,N(AA222)*(1+N('Min gæld'!$D$10)/12))</f>
        <v>0</v>
      </c>
      <c r="Z223" s="27" t="n">
        <f aca="false">IF(Y223&lt;=0,0,MIN(Y223,N('Min gæld'!$E$10)+X223))</f>
        <v>0</v>
      </c>
      <c r="AA223" s="27" t="n">
        <f aca="false">IF(Y223-Z223&lt;0.005,0,Y223-Z223)</f>
        <v>0</v>
      </c>
      <c r="AB223" s="27" t="n">
        <f aca="false">MAX(0,IF(N(AA222)&lt;=0.005,X223,X223+N('Min gæld'!$E$10)-Z223))</f>
        <v>4800</v>
      </c>
      <c r="AC223" s="27" t="n">
        <f aca="false">IF(N(AE222)&lt;=0.005,0,N(AE222)*(1+N('Min gæld'!$D$11)/12))</f>
        <v>0</v>
      </c>
      <c r="AD223" s="27" t="n">
        <f aca="false">IF(AC223&lt;=0,0,MIN(AC223,N('Min gæld'!$E$11)+AB223))</f>
        <v>0</v>
      </c>
      <c r="AE223" s="27" t="n">
        <f aca="false">IF(AC223-AD223&lt;0.005,0,AC223-AD223)</f>
        <v>0</v>
      </c>
      <c r="AF223" s="27" t="n">
        <f aca="false">MAX(0,IF(N(AE222)&lt;=0.005,AB223,AB223+N('Min gæld'!$E$11)-AD223))</f>
        <v>4800</v>
      </c>
      <c r="AG223" s="27" t="n">
        <f aca="false">IF(N(AI222)&lt;=0.005,0,N(AI222)*(1+N('Min gæld'!$D$12)/12))</f>
        <v>0</v>
      </c>
      <c r="AH223" s="27" t="n">
        <f aca="false">IF(AG223&lt;=0,0,MIN(AG223,N('Min gæld'!$E$12)+AF223))</f>
        <v>0</v>
      </c>
      <c r="AI223" s="27" t="n">
        <f aca="false">IF(AG223-AH223&lt;0.005,0,AG223-AH223)</f>
        <v>0</v>
      </c>
      <c r="AJ223" s="27" t="n">
        <f aca="false">G223+K223+O223+S223+W223+AA223+AE223+AI223</f>
        <v>0</v>
      </c>
      <c r="AK223" s="28" t="n">
        <f aca="false">IF(E223&gt;0,E223-N(G222),0)+IF(I223&gt;0,I223-N(K222),0)+IF(M223&gt;0,M223-N(O222),0)+IF(Q223&gt;0,Q223-N(S222),0)+IF(U223&gt;0,U223-N(W222),0)+IF(Y223&gt;0,Y223-N(AA222),0)+IF(AC223&gt;0,AC223-N(AE222),0)+IF(AG223&gt;0,AG223-N(AI222),0)</f>
        <v>0</v>
      </c>
    </row>
    <row r="224" customFormat="false" ht="15" hidden="false" customHeight="false" outlineLevel="0" collapsed="false">
      <c r="A224" s="25" t="n">
        <v>219</v>
      </c>
      <c r="B224" s="26" t="n">
        <f aca="false">EDATE('Min gæld'!$C$16,218)</f>
        <v>53022</v>
      </c>
      <c r="C224" s="27" t="n">
        <f aca="false">N('Min gæld'!$C$15)+IF(N(G223)&lt;=0.005,N('Min gæld'!$E$5),0)+IF(N(K223)&lt;=0.005,N('Min gæld'!$E$6),0)+IF(N(O223)&lt;=0.005,N('Min gæld'!$E$7),0)+IF(N(S223)&lt;=0.005,N('Min gæld'!$E$8),0)+IF(N(W223)&lt;=0.005,N('Min gæld'!$E$9),0)+IF(N(AA223)&lt;=0.005,N('Min gæld'!$E$10),0)+IF(N(AE223)&lt;=0.005,N('Min gæld'!$E$11),0)+IF(N(AI223)&lt;=0.005,N('Min gæld'!$E$12),0)</f>
        <v>4800</v>
      </c>
      <c r="D224" s="27" t="n">
        <f aca="false">MAX(0,C224)</f>
        <v>4800</v>
      </c>
      <c r="E224" s="27" t="n">
        <f aca="false">IF(N(G223)&lt;=0.005,0,N(G223)*(1+N('Min gæld'!$D$5)/12))</f>
        <v>0</v>
      </c>
      <c r="F224" s="27" t="n">
        <f aca="false">IF(E224&lt;=0,0,MIN(E224,N('Min gæld'!$E$5)+D224))</f>
        <v>0</v>
      </c>
      <c r="G224" s="27" t="n">
        <f aca="false">IF(E224-F224&lt;0.005,0,E224-F224)</f>
        <v>0</v>
      </c>
      <c r="H224" s="27" t="n">
        <f aca="false">MAX(0,IF(N(G223)&lt;=0.005,D224,D224+N('Min gæld'!$E$5)-F224))</f>
        <v>4800</v>
      </c>
      <c r="I224" s="27" t="n">
        <f aca="false">IF(N(K223)&lt;=0.005,0,N(K223)*(1+N('Min gæld'!$D$6)/12))</f>
        <v>0</v>
      </c>
      <c r="J224" s="27" t="n">
        <f aca="false">IF(I224&lt;=0,0,MIN(I224,N('Min gæld'!$E$6)+H224))</f>
        <v>0</v>
      </c>
      <c r="K224" s="27" t="n">
        <f aca="false">IF(I224-J224&lt;0.005,0,I224-J224)</f>
        <v>0</v>
      </c>
      <c r="L224" s="27" t="n">
        <f aca="false">MAX(0,IF(N(K223)&lt;=0.005,H224,H224+N('Min gæld'!$E$6)-J224))</f>
        <v>4800</v>
      </c>
      <c r="M224" s="27" t="n">
        <f aca="false">IF(N(O223)&lt;=0.005,0,N(O223)*(1+N('Min gæld'!$D$7)/12))</f>
        <v>0</v>
      </c>
      <c r="N224" s="27" t="n">
        <f aca="false">IF(M224&lt;=0,0,MIN(M224,N('Min gæld'!$E$7)+L224))</f>
        <v>0</v>
      </c>
      <c r="O224" s="27" t="n">
        <f aca="false">IF(M224-N224&lt;0.005,0,M224-N224)</f>
        <v>0</v>
      </c>
      <c r="P224" s="27" t="n">
        <f aca="false">MAX(0,IF(N(O223)&lt;=0.005,L224,L224+N('Min gæld'!$E$7)-N224))</f>
        <v>4800</v>
      </c>
      <c r="Q224" s="27" t="n">
        <f aca="false">IF(N(S223)&lt;=0.005,0,N(S223)*(1+N('Min gæld'!$D$8)/12))</f>
        <v>0</v>
      </c>
      <c r="R224" s="27" t="n">
        <f aca="false">IF(Q224&lt;=0,0,MIN(Q224,N('Min gæld'!$E$8)+P224))</f>
        <v>0</v>
      </c>
      <c r="S224" s="27" t="n">
        <f aca="false">IF(Q224-R224&lt;0.005,0,Q224-R224)</f>
        <v>0</v>
      </c>
      <c r="T224" s="27" t="n">
        <f aca="false">MAX(0,IF(N(S223)&lt;=0.005,P224,P224+N('Min gæld'!$E$8)-R224))</f>
        <v>4800</v>
      </c>
      <c r="U224" s="27" t="n">
        <f aca="false">IF(N(W223)&lt;=0.005,0,N(W223)*(1+N('Min gæld'!$D$9)/12))</f>
        <v>0</v>
      </c>
      <c r="V224" s="27" t="n">
        <f aca="false">IF(U224&lt;=0,0,MIN(U224,N('Min gæld'!$E$9)+T224))</f>
        <v>0</v>
      </c>
      <c r="W224" s="27" t="n">
        <f aca="false">IF(U224-V224&lt;0.005,0,U224-V224)</f>
        <v>0</v>
      </c>
      <c r="X224" s="27" t="n">
        <f aca="false">MAX(0,IF(N(W223)&lt;=0.005,T224,T224+N('Min gæld'!$E$9)-V224))</f>
        <v>4800</v>
      </c>
      <c r="Y224" s="27" t="n">
        <f aca="false">IF(N(AA223)&lt;=0.005,0,N(AA223)*(1+N('Min gæld'!$D$10)/12))</f>
        <v>0</v>
      </c>
      <c r="Z224" s="27" t="n">
        <f aca="false">IF(Y224&lt;=0,0,MIN(Y224,N('Min gæld'!$E$10)+X224))</f>
        <v>0</v>
      </c>
      <c r="AA224" s="27" t="n">
        <f aca="false">IF(Y224-Z224&lt;0.005,0,Y224-Z224)</f>
        <v>0</v>
      </c>
      <c r="AB224" s="27" t="n">
        <f aca="false">MAX(0,IF(N(AA223)&lt;=0.005,X224,X224+N('Min gæld'!$E$10)-Z224))</f>
        <v>4800</v>
      </c>
      <c r="AC224" s="27" t="n">
        <f aca="false">IF(N(AE223)&lt;=0.005,0,N(AE223)*(1+N('Min gæld'!$D$11)/12))</f>
        <v>0</v>
      </c>
      <c r="AD224" s="27" t="n">
        <f aca="false">IF(AC224&lt;=0,0,MIN(AC224,N('Min gæld'!$E$11)+AB224))</f>
        <v>0</v>
      </c>
      <c r="AE224" s="27" t="n">
        <f aca="false">IF(AC224-AD224&lt;0.005,0,AC224-AD224)</f>
        <v>0</v>
      </c>
      <c r="AF224" s="27" t="n">
        <f aca="false">MAX(0,IF(N(AE223)&lt;=0.005,AB224,AB224+N('Min gæld'!$E$11)-AD224))</f>
        <v>4800</v>
      </c>
      <c r="AG224" s="27" t="n">
        <f aca="false">IF(N(AI223)&lt;=0.005,0,N(AI223)*(1+N('Min gæld'!$D$12)/12))</f>
        <v>0</v>
      </c>
      <c r="AH224" s="27" t="n">
        <f aca="false">IF(AG224&lt;=0,0,MIN(AG224,N('Min gæld'!$E$12)+AF224))</f>
        <v>0</v>
      </c>
      <c r="AI224" s="27" t="n">
        <f aca="false">IF(AG224-AH224&lt;0.005,0,AG224-AH224)</f>
        <v>0</v>
      </c>
      <c r="AJ224" s="27" t="n">
        <f aca="false">G224+K224+O224+S224+W224+AA224+AE224+AI224</f>
        <v>0</v>
      </c>
      <c r="AK224" s="28" t="n">
        <f aca="false">IF(E224&gt;0,E224-N(G223),0)+IF(I224&gt;0,I224-N(K223),0)+IF(M224&gt;0,M224-N(O223),0)+IF(Q224&gt;0,Q224-N(S223),0)+IF(U224&gt;0,U224-N(W223),0)+IF(Y224&gt;0,Y224-N(AA223),0)+IF(AC224&gt;0,AC224-N(AE223),0)+IF(AG224&gt;0,AG224-N(AI223),0)</f>
        <v>0</v>
      </c>
    </row>
    <row r="225" customFormat="false" ht="15" hidden="false" customHeight="false" outlineLevel="0" collapsed="false">
      <c r="A225" s="25" t="n">
        <v>220</v>
      </c>
      <c r="B225" s="26" t="n">
        <f aca="false">EDATE('Min gæld'!$C$16,219)</f>
        <v>53053</v>
      </c>
      <c r="C225" s="27" t="n">
        <f aca="false">N('Min gæld'!$C$15)+IF(N(G224)&lt;=0.005,N('Min gæld'!$E$5),0)+IF(N(K224)&lt;=0.005,N('Min gæld'!$E$6),0)+IF(N(O224)&lt;=0.005,N('Min gæld'!$E$7),0)+IF(N(S224)&lt;=0.005,N('Min gæld'!$E$8),0)+IF(N(W224)&lt;=0.005,N('Min gæld'!$E$9),0)+IF(N(AA224)&lt;=0.005,N('Min gæld'!$E$10),0)+IF(N(AE224)&lt;=0.005,N('Min gæld'!$E$11),0)+IF(N(AI224)&lt;=0.005,N('Min gæld'!$E$12),0)</f>
        <v>4800</v>
      </c>
      <c r="D225" s="27" t="n">
        <f aca="false">MAX(0,C225)</f>
        <v>4800</v>
      </c>
      <c r="E225" s="27" t="n">
        <f aca="false">IF(N(G224)&lt;=0.005,0,N(G224)*(1+N('Min gæld'!$D$5)/12))</f>
        <v>0</v>
      </c>
      <c r="F225" s="27" t="n">
        <f aca="false">IF(E225&lt;=0,0,MIN(E225,N('Min gæld'!$E$5)+D225))</f>
        <v>0</v>
      </c>
      <c r="G225" s="27" t="n">
        <f aca="false">IF(E225-F225&lt;0.005,0,E225-F225)</f>
        <v>0</v>
      </c>
      <c r="H225" s="27" t="n">
        <f aca="false">MAX(0,IF(N(G224)&lt;=0.005,D225,D225+N('Min gæld'!$E$5)-F225))</f>
        <v>4800</v>
      </c>
      <c r="I225" s="27" t="n">
        <f aca="false">IF(N(K224)&lt;=0.005,0,N(K224)*(1+N('Min gæld'!$D$6)/12))</f>
        <v>0</v>
      </c>
      <c r="J225" s="27" t="n">
        <f aca="false">IF(I225&lt;=0,0,MIN(I225,N('Min gæld'!$E$6)+H225))</f>
        <v>0</v>
      </c>
      <c r="K225" s="27" t="n">
        <f aca="false">IF(I225-J225&lt;0.005,0,I225-J225)</f>
        <v>0</v>
      </c>
      <c r="L225" s="27" t="n">
        <f aca="false">MAX(0,IF(N(K224)&lt;=0.005,H225,H225+N('Min gæld'!$E$6)-J225))</f>
        <v>4800</v>
      </c>
      <c r="M225" s="27" t="n">
        <f aca="false">IF(N(O224)&lt;=0.005,0,N(O224)*(1+N('Min gæld'!$D$7)/12))</f>
        <v>0</v>
      </c>
      <c r="N225" s="27" t="n">
        <f aca="false">IF(M225&lt;=0,0,MIN(M225,N('Min gæld'!$E$7)+L225))</f>
        <v>0</v>
      </c>
      <c r="O225" s="27" t="n">
        <f aca="false">IF(M225-N225&lt;0.005,0,M225-N225)</f>
        <v>0</v>
      </c>
      <c r="P225" s="27" t="n">
        <f aca="false">MAX(0,IF(N(O224)&lt;=0.005,L225,L225+N('Min gæld'!$E$7)-N225))</f>
        <v>4800</v>
      </c>
      <c r="Q225" s="27" t="n">
        <f aca="false">IF(N(S224)&lt;=0.005,0,N(S224)*(1+N('Min gæld'!$D$8)/12))</f>
        <v>0</v>
      </c>
      <c r="R225" s="27" t="n">
        <f aca="false">IF(Q225&lt;=0,0,MIN(Q225,N('Min gæld'!$E$8)+P225))</f>
        <v>0</v>
      </c>
      <c r="S225" s="27" t="n">
        <f aca="false">IF(Q225-R225&lt;0.005,0,Q225-R225)</f>
        <v>0</v>
      </c>
      <c r="T225" s="27" t="n">
        <f aca="false">MAX(0,IF(N(S224)&lt;=0.005,P225,P225+N('Min gæld'!$E$8)-R225))</f>
        <v>4800</v>
      </c>
      <c r="U225" s="27" t="n">
        <f aca="false">IF(N(W224)&lt;=0.005,0,N(W224)*(1+N('Min gæld'!$D$9)/12))</f>
        <v>0</v>
      </c>
      <c r="V225" s="27" t="n">
        <f aca="false">IF(U225&lt;=0,0,MIN(U225,N('Min gæld'!$E$9)+T225))</f>
        <v>0</v>
      </c>
      <c r="W225" s="27" t="n">
        <f aca="false">IF(U225-V225&lt;0.005,0,U225-V225)</f>
        <v>0</v>
      </c>
      <c r="X225" s="27" t="n">
        <f aca="false">MAX(0,IF(N(W224)&lt;=0.005,T225,T225+N('Min gæld'!$E$9)-V225))</f>
        <v>4800</v>
      </c>
      <c r="Y225" s="27" t="n">
        <f aca="false">IF(N(AA224)&lt;=0.005,0,N(AA224)*(1+N('Min gæld'!$D$10)/12))</f>
        <v>0</v>
      </c>
      <c r="Z225" s="27" t="n">
        <f aca="false">IF(Y225&lt;=0,0,MIN(Y225,N('Min gæld'!$E$10)+X225))</f>
        <v>0</v>
      </c>
      <c r="AA225" s="27" t="n">
        <f aca="false">IF(Y225-Z225&lt;0.005,0,Y225-Z225)</f>
        <v>0</v>
      </c>
      <c r="AB225" s="27" t="n">
        <f aca="false">MAX(0,IF(N(AA224)&lt;=0.005,X225,X225+N('Min gæld'!$E$10)-Z225))</f>
        <v>4800</v>
      </c>
      <c r="AC225" s="27" t="n">
        <f aca="false">IF(N(AE224)&lt;=0.005,0,N(AE224)*(1+N('Min gæld'!$D$11)/12))</f>
        <v>0</v>
      </c>
      <c r="AD225" s="27" t="n">
        <f aca="false">IF(AC225&lt;=0,0,MIN(AC225,N('Min gæld'!$E$11)+AB225))</f>
        <v>0</v>
      </c>
      <c r="AE225" s="27" t="n">
        <f aca="false">IF(AC225-AD225&lt;0.005,0,AC225-AD225)</f>
        <v>0</v>
      </c>
      <c r="AF225" s="27" t="n">
        <f aca="false">MAX(0,IF(N(AE224)&lt;=0.005,AB225,AB225+N('Min gæld'!$E$11)-AD225))</f>
        <v>4800</v>
      </c>
      <c r="AG225" s="27" t="n">
        <f aca="false">IF(N(AI224)&lt;=0.005,0,N(AI224)*(1+N('Min gæld'!$D$12)/12))</f>
        <v>0</v>
      </c>
      <c r="AH225" s="27" t="n">
        <f aca="false">IF(AG225&lt;=0,0,MIN(AG225,N('Min gæld'!$E$12)+AF225))</f>
        <v>0</v>
      </c>
      <c r="AI225" s="27" t="n">
        <f aca="false">IF(AG225-AH225&lt;0.005,0,AG225-AH225)</f>
        <v>0</v>
      </c>
      <c r="AJ225" s="27" t="n">
        <f aca="false">G225+K225+O225+S225+W225+AA225+AE225+AI225</f>
        <v>0</v>
      </c>
      <c r="AK225" s="28" t="n">
        <f aca="false">IF(E225&gt;0,E225-N(G224),0)+IF(I225&gt;0,I225-N(K224),0)+IF(M225&gt;0,M225-N(O224),0)+IF(Q225&gt;0,Q225-N(S224),0)+IF(U225&gt;0,U225-N(W224),0)+IF(Y225&gt;0,Y225-N(AA224),0)+IF(AC225&gt;0,AC225-N(AE224),0)+IF(AG225&gt;0,AG225-N(AI224),0)</f>
        <v>0</v>
      </c>
    </row>
    <row r="226" customFormat="false" ht="15" hidden="false" customHeight="false" outlineLevel="0" collapsed="false">
      <c r="A226" s="25" t="n">
        <v>221</v>
      </c>
      <c r="B226" s="26" t="n">
        <f aca="false">EDATE('Min gæld'!$C$16,220)</f>
        <v>53083</v>
      </c>
      <c r="C226" s="27" t="n">
        <f aca="false">N('Min gæld'!$C$15)+IF(N(G225)&lt;=0.005,N('Min gæld'!$E$5),0)+IF(N(K225)&lt;=0.005,N('Min gæld'!$E$6),0)+IF(N(O225)&lt;=0.005,N('Min gæld'!$E$7),0)+IF(N(S225)&lt;=0.005,N('Min gæld'!$E$8),0)+IF(N(W225)&lt;=0.005,N('Min gæld'!$E$9),0)+IF(N(AA225)&lt;=0.005,N('Min gæld'!$E$10),0)+IF(N(AE225)&lt;=0.005,N('Min gæld'!$E$11),0)+IF(N(AI225)&lt;=0.005,N('Min gæld'!$E$12),0)</f>
        <v>4800</v>
      </c>
      <c r="D226" s="27" t="n">
        <f aca="false">MAX(0,C226)</f>
        <v>4800</v>
      </c>
      <c r="E226" s="27" t="n">
        <f aca="false">IF(N(G225)&lt;=0.005,0,N(G225)*(1+N('Min gæld'!$D$5)/12))</f>
        <v>0</v>
      </c>
      <c r="F226" s="27" t="n">
        <f aca="false">IF(E226&lt;=0,0,MIN(E226,N('Min gæld'!$E$5)+D226))</f>
        <v>0</v>
      </c>
      <c r="G226" s="27" t="n">
        <f aca="false">IF(E226-F226&lt;0.005,0,E226-F226)</f>
        <v>0</v>
      </c>
      <c r="H226" s="27" t="n">
        <f aca="false">MAX(0,IF(N(G225)&lt;=0.005,D226,D226+N('Min gæld'!$E$5)-F226))</f>
        <v>4800</v>
      </c>
      <c r="I226" s="27" t="n">
        <f aca="false">IF(N(K225)&lt;=0.005,0,N(K225)*(1+N('Min gæld'!$D$6)/12))</f>
        <v>0</v>
      </c>
      <c r="J226" s="27" t="n">
        <f aca="false">IF(I226&lt;=0,0,MIN(I226,N('Min gæld'!$E$6)+H226))</f>
        <v>0</v>
      </c>
      <c r="K226" s="27" t="n">
        <f aca="false">IF(I226-J226&lt;0.005,0,I226-J226)</f>
        <v>0</v>
      </c>
      <c r="L226" s="27" t="n">
        <f aca="false">MAX(0,IF(N(K225)&lt;=0.005,H226,H226+N('Min gæld'!$E$6)-J226))</f>
        <v>4800</v>
      </c>
      <c r="M226" s="27" t="n">
        <f aca="false">IF(N(O225)&lt;=0.005,0,N(O225)*(1+N('Min gæld'!$D$7)/12))</f>
        <v>0</v>
      </c>
      <c r="N226" s="27" t="n">
        <f aca="false">IF(M226&lt;=0,0,MIN(M226,N('Min gæld'!$E$7)+L226))</f>
        <v>0</v>
      </c>
      <c r="O226" s="27" t="n">
        <f aca="false">IF(M226-N226&lt;0.005,0,M226-N226)</f>
        <v>0</v>
      </c>
      <c r="P226" s="27" t="n">
        <f aca="false">MAX(0,IF(N(O225)&lt;=0.005,L226,L226+N('Min gæld'!$E$7)-N226))</f>
        <v>4800</v>
      </c>
      <c r="Q226" s="27" t="n">
        <f aca="false">IF(N(S225)&lt;=0.005,0,N(S225)*(1+N('Min gæld'!$D$8)/12))</f>
        <v>0</v>
      </c>
      <c r="R226" s="27" t="n">
        <f aca="false">IF(Q226&lt;=0,0,MIN(Q226,N('Min gæld'!$E$8)+P226))</f>
        <v>0</v>
      </c>
      <c r="S226" s="27" t="n">
        <f aca="false">IF(Q226-R226&lt;0.005,0,Q226-R226)</f>
        <v>0</v>
      </c>
      <c r="T226" s="27" t="n">
        <f aca="false">MAX(0,IF(N(S225)&lt;=0.005,P226,P226+N('Min gæld'!$E$8)-R226))</f>
        <v>4800</v>
      </c>
      <c r="U226" s="27" t="n">
        <f aca="false">IF(N(W225)&lt;=0.005,0,N(W225)*(1+N('Min gæld'!$D$9)/12))</f>
        <v>0</v>
      </c>
      <c r="V226" s="27" t="n">
        <f aca="false">IF(U226&lt;=0,0,MIN(U226,N('Min gæld'!$E$9)+T226))</f>
        <v>0</v>
      </c>
      <c r="W226" s="27" t="n">
        <f aca="false">IF(U226-V226&lt;0.005,0,U226-V226)</f>
        <v>0</v>
      </c>
      <c r="X226" s="27" t="n">
        <f aca="false">MAX(0,IF(N(W225)&lt;=0.005,T226,T226+N('Min gæld'!$E$9)-V226))</f>
        <v>4800</v>
      </c>
      <c r="Y226" s="27" t="n">
        <f aca="false">IF(N(AA225)&lt;=0.005,0,N(AA225)*(1+N('Min gæld'!$D$10)/12))</f>
        <v>0</v>
      </c>
      <c r="Z226" s="27" t="n">
        <f aca="false">IF(Y226&lt;=0,0,MIN(Y226,N('Min gæld'!$E$10)+X226))</f>
        <v>0</v>
      </c>
      <c r="AA226" s="27" t="n">
        <f aca="false">IF(Y226-Z226&lt;0.005,0,Y226-Z226)</f>
        <v>0</v>
      </c>
      <c r="AB226" s="27" t="n">
        <f aca="false">MAX(0,IF(N(AA225)&lt;=0.005,X226,X226+N('Min gæld'!$E$10)-Z226))</f>
        <v>4800</v>
      </c>
      <c r="AC226" s="27" t="n">
        <f aca="false">IF(N(AE225)&lt;=0.005,0,N(AE225)*(1+N('Min gæld'!$D$11)/12))</f>
        <v>0</v>
      </c>
      <c r="AD226" s="27" t="n">
        <f aca="false">IF(AC226&lt;=0,0,MIN(AC226,N('Min gæld'!$E$11)+AB226))</f>
        <v>0</v>
      </c>
      <c r="AE226" s="27" t="n">
        <f aca="false">IF(AC226-AD226&lt;0.005,0,AC226-AD226)</f>
        <v>0</v>
      </c>
      <c r="AF226" s="27" t="n">
        <f aca="false">MAX(0,IF(N(AE225)&lt;=0.005,AB226,AB226+N('Min gæld'!$E$11)-AD226))</f>
        <v>4800</v>
      </c>
      <c r="AG226" s="27" t="n">
        <f aca="false">IF(N(AI225)&lt;=0.005,0,N(AI225)*(1+N('Min gæld'!$D$12)/12))</f>
        <v>0</v>
      </c>
      <c r="AH226" s="27" t="n">
        <f aca="false">IF(AG226&lt;=0,0,MIN(AG226,N('Min gæld'!$E$12)+AF226))</f>
        <v>0</v>
      </c>
      <c r="AI226" s="27" t="n">
        <f aca="false">IF(AG226-AH226&lt;0.005,0,AG226-AH226)</f>
        <v>0</v>
      </c>
      <c r="AJ226" s="27" t="n">
        <f aca="false">G226+K226+O226+S226+W226+AA226+AE226+AI226</f>
        <v>0</v>
      </c>
      <c r="AK226" s="28" t="n">
        <f aca="false">IF(E226&gt;0,E226-N(G225),0)+IF(I226&gt;0,I226-N(K225),0)+IF(M226&gt;0,M226-N(O225),0)+IF(Q226&gt;0,Q226-N(S225),0)+IF(U226&gt;0,U226-N(W225),0)+IF(Y226&gt;0,Y226-N(AA225),0)+IF(AC226&gt;0,AC226-N(AE225),0)+IF(AG226&gt;0,AG226-N(AI225),0)</f>
        <v>0</v>
      </c>
    </row>
    <row r="227" customFormat="false" ht="15" hidden="false" customHeight="false" outlineLevel="0" collapsed="false">
      <c r="A227" s="25" t="n">
        <v>222</v>
      </c>
      <c r="B227" s="26" t="n">
        <f aca="false">EDATE('Min gæld'!$C$16,221)</f>
        <v>53114</v>
      </c>
      <c r="C227" s="27" t="n">
        <f aca="false">N('Min gæld'!$C$15)+IF(N(G226)&lt;=0.005,N('Min gæld'!$E$5),0)+IF(N(K226)&lt;=0.005,N('Min gæld'!$E$6),0)+IF(N(O226)&lt;=0.005,N('Min gæld'!$E$7),0)+IF(N(S226)&lt;=0.005,N('Min gæld'!$E$8),0)+IF(N(W226)&lt;=0.005,N('Min gæld'!$E$9),0)+IF(N(AA226)&lt;=0.005,N('Min gæld'!$E$10),0)+IF(N(AE226)&lt;=0.005,N('Min gæld'!$E$11),0)+IF(N(AI226)&lt;=0.005,N('Min gæld'!$E$12),0)</f>
        <v>4800</v>
      </c>
      <c r="D227" s="27" t="n">
        <f aca="false">MAX(0,C227)</f>
        <v>4800</v>
      </c>
      <c r="E227" s="27" t="n">
        <f aca="false">IF(N(G226)&lt;=0.005,0,N(G226)*(1+N('Min gæld'!$D$5)/12))</f>
        <v>0</v>
      </c>
      <c r="F227" s="27" t="n">
        <f aca="false">IF(E227&lt;=0,0,MIN(E227,N('Min gæld'!$E$5)+D227))</f>
        <v>0</v>
      </c>
      <c r="G227" s="27" t="n">
        <f aca="false">IF(E227-F227&lt;0.005,0,E227-F227)</f>
        <v>0</v>
      </c>
      <c r="H227" s="27" t="n">
        <f aca="false">MAX(0,IF(N(G226)&lt;=0.005,D227,D227+N('Min gæld'!$E$5)-F227))</f>
        <v>4800</v>
      </c>
      <c r="I227" s="27" t="n">
        <f aca="false">IF(N(K226)&lt;=0.005,0,N(K226)*(1+N('Min gæld'!$D$6)/12))</f>
        <v>0</v>
      </c>
      <c r="J227" s="27" t="n">
        <f aca="false">IF(I227&lt;=0,0,MIN(I227,N('Min gæld'!$E$6)+H227))</f>
        <v>0</v>
      </c>
      <c r="K227" s="27" t="n">
        <f aca="false">IF(I227-J227&lt;0.005,0,I227-J227)</f>
        <v>0</v>
      </c>
      <c r="L227" s="27" t="n">
        <f aca="false">MAX(0,IF(N(K226)&lt;=0.005,H227,H227+N('Min gæld'!$E$6)-J227))</f>
        <v>4800</v>
      </c>
      <c r="M227" s="27" t="n">
        <f aca="false">IF(N(O226)&lt;=0.005,0,N(O226)*(1+N('Min gæld'!$D$7)/12))</f>
        <v>0</v>
      </c>
      <c r="N227" s="27" t="n">
        <f aca="false">IF(M227&lt;=0,0,MIN(M227,N('Min gæld'!$E$7)+L227))</f>
        <v>0</v>
      </c>
      <c r="O227" s="27" t="n">
        <f aca="false">IF(M227-N227&lt;0.005,0,M227-N227)</f>
        <v>0</v>
      </c>
      <c r="P227" s="27" t="n">
        <f aca="false">MAX(0,IF(N(O226)&lt;=0.005,L227,L227+N('Min gæld'!$E$7)-N227))</f>
        <v>4800</v>
      </c>
      <c r="Q227" s="27" t="n">
        <f aca="false">IF(N(S226)&lt;=0.005,0,N(S226)*(1+N('Min gæld'!$D$8)/12))</f>
        <v>0</v>
      </c>
      <c r="R227" s="27" t="n">
        <f aca="false">IF(Q227&lt;=0,0,MIN(Q227,N('Min gæld'!$E$8)+P227))</f>
        <v>0</v>
      </c>
      <c r="S227" s="27" t="n">
        <f aca="false">IF(Q227-R227&lt;0.005,0,Q227-R227)</f>
        <v>0</v>
      </c>
      <c r="T227" s="27" t="n">
        <f aca="false">MAX(0,IF(N(S226)&lt;=0.005,P227,P227+N('Min gæld'!$E$8)-R227))</f>
        <v>4800</v>
      </c>
      <c r="U227" s="27" t="n">
        <f aca="false">IF(N(W226)&lt;=0.005,0,N(W226)*(1+N('Min gæld'!$D$9)/12))</f>
        <v>0</v>
      </c>
      <c r="V227" s="27" t="n">
        <f aca="false">IF(U227&lt;=0,0,MIN(U227,N('Min gæld'!$E$9)+T227))</f>
        <v>0</v>
      </c>
      <c r="W227" s="27" t="n">
        <f aca="false">IF(U227-V227&lt;0.005,0,U227-V227)</f>
        <v>0</v>
      </c>
      <c r="X227" s="27" t="n">
        <f aca="false">MAX(0,IF(N(W226)&lt;=0.005,T227,T227+N('Min gæld'!$E$9)-V227))</f>
        <v>4800</v>
      </c>
      <c r="Y227" s="27" t="n">
        <f aca="false">IF(N(AA226)&lt;=0.005,0,N(AA226)*(1+N('Min gæld'!$D$10)/12))</f>
        <v>0</v>
      </c>
      <c r="Z227" s="27" t="n">
        <f aca="false">IF(Y227&lt;=0,0,MIN(Y227,N('Min gæld'!$E$10)+X227))</f>
        <v>0</v>
      </c>
      <c r="AA227" s="27" t="n">
        <f aca="false">IF(Y227-Z227&lt;0.005,0,Y227-Z227)</f>
        <v>0</v>
      </c>
      <c r="AB227" s="27" t="n">
        <f aca="false">MAX(0,IF(N(AA226)&lt;=0.005,X227,X227+N('Min gæld'!$E$10)-Z227))</f>
        <v>4800</v>
      </c>
      <c r="AC227" s="27" t="n">
        <f aca="false">IF(N(AE226)&lt;=0.005,0,N(AE226)*(1+N('Min gæld'!$D$11)/12))</f>
        <v>0</v>
      </c>
      <c r="AD227" s="27" t="n">
        <f aca="false">IF(AC227&lt;=0,0,MIN(AC227,N('Min gæld'!$E$11)+AB227))</f>
        <v>0</v>
      </c>
      <c r="AE227" s="27" t="n">
        <f aca="false">IF(AC227-AD227&lt;0.005,0,AC227-AD227)</f>
        <v>0</v>
      </c>
      <c r="AF227" s="27" t="n">
        <f aca="false">MAX(0,IF(N(AE226)&lt;=0.005,AB227,AB227+N('Min gæld'!$E$11)-AD227))</f>
        <v>4800</v>
      </c>
      <c r="AG227" s="27" t="n">
        <f aca="false">IF(N(AI226)&lt;=0.005,0,N(AI226)*(1+N('Min gæld'!$D$12)/12))</f>
        <v>0</v>
      </c>
      <c r="AH227" s="27" t="n">
        <f aca="false">IF(AG227&lt;=0,0,MIN(AG227,N('Min gæld'!$E$12)+AF227))</f>
        <v>0</v>
      </c>
      <c r="AI227" s="27" t="n">
        <f aca="false">IF(AG227-AH227&lt;0.005,0,AG227-AH227)</f>
        <v>0</v>
      </c>
      <c r="AJ227" s="27" t="n">
        <f aca="false">G227+K227+O227+S227+W227+AA227+AE227+AI227</f>
        <v>0</v>
      </c>
      <c r="AK227" s="28" t="n">
        <f aca="false">IF(E227&gt;0,E227-N(G226),0)+IF(I227&gt;0,I227-N(K226),0)+IF(M227&gt;0,M227-N(O226),0)+IF(Q227&gt;0,Q227-N(S226),0)+IF(U227&gt;0,U227-N(W226),0)+IF(Y227&gt;0,Y227-N(AA226),0)+IF(AC227&gt;0,AC227-N(AE226),0)+IF(AG227&gt;0,AG227-N(AI226),0)</f>
        <v>0</v>
      </c>
    </row>
    <row r="228" customFormat="false" ht="15" hidden="false" customHeight="false" outlineLevel="0" collapsed="false">
      <c r="A228" s="25" t="n">
        <v>223</v>
      </c>
      <c r="B228" s="26" t="n">
        <f aca="false">EDATE('Min gæld'!$C$16,222)</f>
        <v>53144</v>
      </c>
      <c r="C228" s="27" t="n">
        <f aca="false">N('Min gæld'!$C$15)+IF(N(G227)&lt;=0.005,N('Min gæld'!$E$5),0)+IF(N(K227)&lt;=0.005,N('Min gæld'!$E$6),0)+IF(N(O227)&lt;=0.005,N('Min gæld'!$E$7),0)+IF(N(S227)&lt;=0.005,N('Min gæld'!$E$8),0)+IF(N(W227)&lt;=0.005,N('Min gæld'!$E$9),0)+IF(N(AA227)&lt;=0.005,N('Min gæld'!$E$10),0)+IF(N(AE227)&lt;=0.005,N('Min gæld'!$E$11),0)+IF(N(AI227)&lt;=0.005,N('Min gæld'!$E$12),0)</f>
        <v>4800</v>
      </c>
      <c r="D228" s="27" t="n">
        <f aca="false">MAX(0,C228)</f>
        <v>4800</v>
      </c>
      <c r="E228" s="27" t="n">
        <f aca="false">IF(N(G227)&lt;=0.005,0,N(G227)*(1+N('Min gæld'!$D$5)/12))</f>
        <v>0</v>
      </c>
      <c r="F228" s="27" t="n">
        <f aca="false">IF(E228&lt;=0,0,MIN(E228,N('Min gæld'!$E$5)+D228))</f>
        <v>0</v>
      </c>
      <c r="G228" s="27" t="n">
        <f aca="false">IF(E228-F228&lt;0.005,0,E228-F228)</f>
        <v>0</v>
      </c>
      <c r="H228" s="27" t="n">
        <f aca="false">MAX(0,IF(N(G227)&lt;=0.005,D228,D228+N('Min gæld'!$E$5)-F228))</f>
        <v>4800</v>
      </c>
      <c r="I228" s="27" t="n">
        <f aca="false">IF(N(K227)&lt;=0.005,0,N(K227)*(1+N('Min gæld'!$D$6)/12))</f>
        <v>0</v>
      </c>
      <c r="J228" s="27" t="n">
        <f aca="false">IF(I228&lt;=0,0,MIN(I228,N('Min gæld'!$E$6)+H228))</f>
        <v>0</v>
      </c>
      <c r="K228" s="27" t="n">
        <f aca="false">IF(I228-J228&lt;0.005,0,I228-J228)</f>
        <v>0</v>
      </c>
      <c r="L228" s="27" t="n">
        <f aca="false">MAX(0,IF(N(K227)&lt;=0.005,H228,H228+N('Min gæld'!$E$6)-J228))</f>
        <v>4800</v>
      </c>
      <c r="M228" s="27" t="n">
        <f aca="false">IF(N(O227)&lt;=0.005,0,N(O227)*(1+N('Min gæld'!$D$7)/12))</f>
        <v>0</v>
      </c>
      <c r="N228" s="27" t="n">
        <f aca="false">IF(M228&lt;=0,0,MIN(M228,N('Min gæld'!$E$7)+L228))</f>
        <v>0</v>
      </c>
      <c r="O228" s="27" t="n">
        <f aca="false">IF(M228-N228&lt;0.005,0,M228-N228)</f>
        <v>0</v>
      </c>
      <c r="P228" s="27" t="n">
        <f aca="false">MAX(0,IF(N(O227)&lt;=0.005,L228,L228+N('Min gæld'!$E$7)-N228))</f>
        <v>4800</v>
      </c>
      <c r="Q228" s="27" t="n">
        <f aca="false">IF(N(S227)&lt;=0.005,0,N(S227)*(1+N('Min gæld'!$D$8)/12))</f>
        <v>0</v>
      </c>
      <c r="R228" s="27" t="n">
        <f aca="false">IF(Q228&lt;=0,0,MIN(Q228,N('Min gæld'!$E$8)+P228))</f>
        <v>0</v>
      </c>
      <c r="S228" s="27" t="n">
        <f aca="false">IF(Q228-R228&lt;0.005,0,Q228-R228)</f>
        <v>0</v>
      </c>
      <c r="T228" s="27" t="n">
        <f aca="false">MAX(0,IF(N(S227)&lt;=0.005,P228,P228+N('Min gæld'!$E$8)-R228))</f>
        <v>4800</v>
      </c>
      <c r="U228" s="27" t="n">
        <f aca="false">IF(N(W227)&lt;=0.005,0,N(W227)*(1+N('Min gæld'!$D$9)/12))</f>
        <v>0</v>
      </c>
      <c r="V228" s="27" t="n">
        <f aca="false">IF(U228&lt;=0,0,MIN(U228,N('Min gæld'!$E$9)+T228))</f>
        <v>0</v>
      </c>
      <c r="W228" s="27" t="n">
        <f aca="false">IF(U228-V228&lt;0.005,0,U228-V228)</f>
        <v>0</v>
      </c>
      <c r="X228" s="27" t="n">
        <f aca="false">MAX(0,IF(N(W227)&lt;=0.005,T228,T228+N('Min gæld'!$E$9)-V228))</f>
        <v>4800</v>
      </c>
      <c r="Y228" s="27" t="n">
        <f aca="false">IF(N(AA227)&lt;=0.005,0,N(AA227)*(1+N('Min gæld'!$D$10)/12))</f>
        <v>0</v>
      </c>
      <c r="Z228" s="27" t="n">
        <f aca="false">IF(Y228&lt;=0,0,MIN(Y228,N('Min gæld'!$E$10)+X228))</f>
        <v>0</v>
      </c>
      <c r="AA228" s="27" t="n">
        <f aca="false">IF(Y228-Z228&lt;0.005,0,Y228-Z228)</f>
        <v>0</v>
      </c>
      <c r="AB228" s="27" t="n">
        <f aca="false">MAX(0,IF(N(AA227)&lt;=0.005,X228,X228+N('Min gæld'!$E$10)-Z228))</f>
        <v>4800</v>
      </c>
      <c r="AC228" s="27" t="n">
        <f aca="false">IF(N(AE227)&lt;=0.005,0,N(AE227)*(1+N('Min gæld'!$D$11)/12))</f>
        <v>0</v>
      </c>
      <c r="AD228" s="27" t="n">
        <f aca="false">IF(AC228&lt;=0,0,MIN(AC228,N('Min gæld'!$E$11)+AB228))</f>
        <v>0</v>
      </c>
      <c r="AE228" s="27" t="n">
        <f aca="false">IF(AC228-AD228&lt;0.005,0,AC228-AD228)</f>
        <v>0</v>
      </c>
      <c r="AF228" s="27" t="n">
        <f aca="false">MAX(0,IF(N(AE227)&lt;=0.005,AB228,AB228+N('Min gæld'!$E$11)-AD228))</f>
        <v>4800</v>
      </c>
      <c r="AG228" s="27" t="n">
        <f aca="false">IF(N(AI227)&lt;=0.005,0,N(AI227)*(1+N('Min gæld'!$D$12)/12))</f>
        <v>0</v>
      </c>
      <c r="AH228" s="27" t="n">
        <f aca="false">IF(AG228&lt;=0,0,MIN(AG228,N('Min gæld'!$E$12)+AF228))</f>
        <v>0</v>
      </c>
      <c r="AI228" s="27" t="n">
        <f aca="false">IF(AG228-AH228&lt;0.005,0,AG228-AH228)</f>
        <v>0</v>
      </c>
      <c r="AJ228" s="27" t="n">
        <f aca="false">G228+K228+O228+S228+W228+AA228+AE228+AI228</f>
        <v>0</v>
      </c>
      <c r="AK228" s="28" t="n">
        <f aca="false">IF(E228&gt;0,E228-N(G227),0)+IF(I228&gt;0,I228-N(K227),0)+IF(M228&gt;0,M228-N(O227),0)+IF(Q228&gt;0,Q228-N(S227),0)+IF(U228&gt;0,U228-N(W227),0)+IF(Y228&gt;0,Y228-N(AA227),0)+IF(AC228&gt;0,AC228-N(AE227),0)+IF(AG228&gt;0,AG228-N(AI227),0)</f>
        <v>0</v>
      </c>
    </row>
    <row r="229" customFormat="false" ht="15" hidden="false" customHeight="false" outlineLevel="0" collapsed="false">
      <c r="A229" s="25" t="n">
        <v>224</v>
      </c>
      <c r="B229" s="26" t="n">
        <f aca="false">EDATE('Min gæld'!$C$16,223)</f>
        <v>53175</v>
      </c>
      <c r="C229" s="27" t="n">
        <f aca="false">N('Min gæld'!$C$15)+IF(N(G228)&lt;=0.005,N('Min gæld'!$E$5),0)+IF(N(K228)&lt;=0.005,N('Min gæld'!$E$6),0)+IF(N(O228)&lt;=0.005,N('Min gæld'!$E$7),0)+IF(N(S228)&lt;=0.005,N('Min gæld'!$E$8),0)+IF(N(W228)&lt;=0.005,N('Min gæld'!$E$9),0)+IF(N(AA228)&lt;=0.005,N('Min gæld'!$E$10),0)+IF(N(AE228)&lt;=0.005,N('Min gæld'!$E$11),0)+IF(N(AI228)&lt;=0.005,N('Min gæld'!$E$12),0)</f>
        <v>4800</v>
      </c>
      <c r="D229" s="27" t="n">
        <f aca="false">MAX(0,C229)</f>
        <v>4800</v>
      </c>
      <c r="E229" s="27" t="n">
        <f aca="false">IF(N(G228)&lt;=0.005,0,N(G228)*(1+N('Min gæld'!$D$5)/12))</f>
        <v>0</v>
      </c>
      <c r="F229" s="27" t="n">
        <f aca="false">IF(E229&lt;=0,0,MIN(E229,N('Min gæld'!$E$5)+D229))</f>
        <v>0</v>
      </c>
      <c r="G229" s="27" t="n">
        <f aca="false">IF(E229-F229&lt;0.005,0,E229-F229)</f>
        <v>0</v>
      </c>
      <c r="H229" s="27" t="n">
        <f aca="false">MAX(0,IF(N(G228)&lt;=0.005,D229,D229+N('Min gæld'!$E$5)-F229))</f>
        <v>4800</v>
      </c>
      <c r="I229" s="27" t="n">
        <f aca="false">IF(N(K228)&lt;=0.005,0,N(K228)*(1+N('Min gæld'!$D$6)/12))</f>
        <v>0</v>
      </c>
      <c r="J229" s="27" t="n">
        <f aca="false">IF(I229&lt;=0,0,MIN(I229,N('Min gæld'!$E$6)+H229))</f>
        <v>0</v>
      </c>
      <c r="K229" s="27" t="n">
        <f aca="false">IF(I229-J229&lt;0.005,0,I229-J229)</f>
        <v>0</v>
      </c>
      <c r="L229" s="27" t="n">
        <f aca="false">MAX(0,IF(N(K228)&lt;=0.005,H229,H229+N('Min gæld'!$E$6)-J229))</f>
        <v>4800</v>
      </c>
      <c r="M229" s="27" t="n">
        <f aca="false">IF(N(O228)&lt;=0.005,0,N(O228)*(1+N('Min gæld'!$D$7)/12))</f>
        <v>0</v>
      </c>
      <c r="N229" s="27" t="n">
        <f aca="false">IF(M229&lt;=0,0,MIN(M229,N('Min gæld'!$E$7)+L229))</f>
        <v>0</v>
      </c>
      <c r="O229" s="27" t="n">
        <f aca="false">IF(M229-N229&lt;0.005,0,M229-N229)</f>
        <v>0</v>
      </c>
      <c r="P229" s="27" t="n">
        <f aca="false">MAX(0,IF(N(O228)&lt;=0.005,L229,L229+N('Min gæld'!$E$7)-N229))</f>
        <v>4800</v>
      </c>
      <c r="Q229" s="27" t="n">
        <f aca="false">IF(N(S228)&lt;=0.005,0,N(S228)*(1+N('Min gæld'!$D$8)/12))</f>
        <v>0</v>
      </c>
      <c r="R229" s="27" t="n">
        <f aca="false">IF(Q229&lt;=0,0,MIN(Q229,N('Min gæld'!$E$8)+P229))</f>
        <v>0</v>
      </c>
      <c r="S229" s="27" t="n">
        <f aca="false">IF(Q229-R229&lt;0.005,0,Q229-R229)</f>
        <v>0</v>
      </c>
      <c r="T229" s="27" t="n">
        <f aca="false">MAX(0,IF(N(S228)&lt;=0.005,P229,P229+N('Min gæld'!$E$8)-R229))</f>
        <v>4800</v>
      </c>
      <c r="U229" s="27" t="n">
        <f aca="false">IF(N(W228)&lt;=0.005,0,N(W228)*(1+N('Min gæld'!$D$9)/12))</f>
        <v>0</v>
      </c>
      <c r="V229" s="27" t="n">
        <f aca="false">IF(U229&lt;=0,0,MIN(U229,N('Min gæld'!$E$9)+T229))</f>
        <v>0</v>
      </c>
      <c r="W229" s="27" t="n">
        <f aca="false">IF(U229-V229&lt;0.005,0,U229-V229)</f>
        <v>0</v>
      </c>
      <c r="X229" s="27" t="n">
        <f aca="false">MAX(0,IF(N(W228)&lt;=0.005,T229,T229+N('Min gæld'!$E$9)-V229))</f>
        <v>4800</v>
      </c>
      <c r="Y229" s="27" t="n">
        <f aca="false">IF(N(AA228)&lt;=0.005,0,N(AA228)*(1+N('Min gæld'!$D$10)/12))</f>
        <v>0</v>
      </c>
      <c r="Z229" s="27" t="n">
        <f aca="false">IF(Y229&lt;=0,0,MIN(Y229,N('Min gæld'!$E$10)+X229))</f>
        <v>0</v>
      </c>
      <c r="AA229" s="27" t="n">
        <f aca="false">IF(Y229-Z229&lt;0.005,0,Y229-Z229)</f>
        <v>0</v>
      </c>
      <c r="AB229" s="27" t="n">
        <f aca="false">MAX(0,IF(N(AA228)&lt;=0.005,X229,X229+N('Min gæld'!$E$10)-Z229))</f>
        <v>4800</v>
      </c>
      <c r="AC229" s="27" t="n">
        <f aca="false">IF(N(AE228)&lt;=0.005,0,N(AE228)*(1+N('Min gæld'!$D$11)/12))</f>
        <v>0</v>
      </c>
      <c r="AD229" s="27" t="n">
        <f aca="false">IF(AC229&lt;=0,0,MIN(AC229,N('Min gæld'!$E$11)+AB229))</f>
        <v>0</v>
      </c>
      <c r="AE229" s="27" t="n">
        <f aca="false">IF(AC229-AD229&lt;0.005,0,AC229-AD229)</f>
        <v>0</v>
      </c>
      <c r="AF229" s="27" t="n">
        <f aca="false">MAX(0,IF(N(AE228)&lt;=0.005,AB229,AB229+N('Min gæld'!$E$11)-AD229))</f>
        <v>4800</v>
      </c>
      <c r="AG229" s="27" t="n">
        <f aca="false">IF(N(AI228)&lt;=0.005,0,N(AI228)*(1+N('Min gæld'!$D$12)/12))</f>
        <v>0</v>
      </c>
      <c r="AH229" s="27" t="n">
        <f aca="false">IF(AG229&lt;=0,0,MIN(AG229,N('Min gæld'!$E$12)+AF229))</f>
        <v>0</v>
      </c>
      <c r="AI229" s="27" t="n">
        <f aca="false">IF(AG229-AH229&lt;0.005,0,AG229-AH229)</f>
        <v>0</v>
      </c>
      <c r="AJ229" s="27" t="n">
        <f aca="false">G229+K229+O229+S229+W229+AA229+AE229+AI229</f>
        <v>0</v>
      </c>
      <c r="AK229" s="28" t="n">
        <f aca="false">IF(E229&gt;0,E229-N(G228),0)+IF(I229&gt;0,I229-N(K228),0)+IF(M229&gt;0,M229-N(O228),0)+IF(Q229&gt;0,Q229-N(S228),0)+IF(U229&gt;0,U229-N(W228),0)+IF(Y229&gt;0,Y229-N(AA228),0)+IF(AC229&gt;0,AC229-N(AE228),0)+IF(AG229&gt;0,AG229-N(AI228),0)</f>
        <v>0</v>
      </c>
    </row>
    <row r="230" customFormat="false" ht="15" hidden="false" customHeight="false" outlineLevel="0" collapsed="false">
      <c r="A230" s="25" t="n">
        <v>225</v>
      </c>
      <c r="B230" s="26" t="n">
        <f aca="false">EDATE('Min gæld'!$C$16,224)</f>
        <v>53206</v>
      </c>
      <c r="C230" s="27" t="n">
        <f aca="false">N('Min gæld'!$C$15)+IF(N(G229)&lt;=0.005,N('Min gæld'!$E$5),0)+IF(N(K229)&lt;=0.005,N('Min gæld'!$E$6),0)+IF(N(O229)&lt;=0.005,N('Min gæld'!$E$7),0)+IF(N(S229)&lt;=0.005,N('Min gæld'!$E$8),0)+IF(N(W229)&lt;=0.005,N('Min gæld'!$E$9),0)+IF(N(AA229)&lt;=0.005,N('Min gæld'!$E$10),0)+IF(N(AE229)&lt;=0.005,N('Min gæld'!$E$11),0)+IF(N(AI229)&lt;=0.005,N('Min gæld'!$E$12),0)</f>
        <v>4800</v>
      </c>
      <c r="D230" s="27" t="n">
        <f aca="false">MAX(0,C230)</f>
        <v>4800</v>
      </c>
      <c r="E230" s="27" t="n">
        <f aca="false">IF(N(G229)&lt;=0.005,0,N(G229)*(1+N('Min gæld'!$D$5)/12))</f>
        <v>0</v>
      </c>
      <c r="F230" s="27" t="n">
        <f aca="false">IF(E230&lt;=0,0,MIN(E230,N('Min gæld'!$E$5)+D230))</f>
        <v>0</v>
      </c>
      <c r="G230" s="27" t="n">
        <f aca="false">IF(E230-F230&lt;0.005,0,E230-F230)</f>
        <v>0</v>
      </c>
      <c r="H230" s="27" t="n">
        <f aca="false">MAX(0,IF(N(G229)&lt;=0.005,D230,D230+N('Min gæld'!$E$5)-F230))</f>
        <v>4800</v>
      </c>
      <c r="I230" s="27" t="n">
        <f aca="false">IF(N(K229)&lt;=0.005,0,N(K229)*(1+N('Min gæld'!$D$6)/12))</f>
        <v>0</v>
      </c>
      <c r="J230" s="27" t="n">
        <f aca="false">IF(I230&lt;=0,0,MIN(I230,N('Min gæld'!$E$6)+H230))</f>
        <v>0</v>
      </c>
      <c r="K230" s="27" t="n">
        <f aca="false">IF(I230-J230&lt;0.005,0,I230-J230)</f>
        <v>0</v>
      </c>
      <c r="L230" s="27" t="n">
        <f aca="false">MAX(0,IF(N(K229)&lt;=0.005,H230,H230+N('Min gæld'!$E$6)-J230))</f>
        <v>4800</v>
      </c>
      <c r="M230" s="27" t="n">
        <f aca="false">IF(N(O229)&lt;=0.005,0,N(O229)*(1+N('Min gæld'!$D$7)/12))</f>
        <v>0</v>
      </c>
      <c r="N230" s="27" t="n">
        <f aca="false">IF(M230&lt;=0,0,MIN(M230,N('Min gæld'!$E$7)+L230))</f>
        <v>0</v>
      </c>
      <c r="O230" s="27" t="n">
        <f aca="false">IF(M230-N230&lt;0.005,0,M230-N230)</f>
        <v>0</v>
      </c>
      <c r="P230" s="27" t="n">
        <f aca="false">MAX(0,IF(N(O229)&lt;=0.005,L230,L230+N('Min gæld'!$E$7)-N230))</f>
        <v>4800</v>
      </c>
      <c r="Q230" s="27" t="n">
        <f aca="false">IF(N(S229)&lt;=0.005,0,N(S229)*(1+N('Min gæld'!$D$8)/12))</f>
        <v>0</v>
      </c>
      <c r="R230" s="27" t="n">
        <f aca="false">IF(Q230&lt;=0,0,MIN(Q230,N('Min gæld'!$E$8)+P230))</f>
        <v>0</v>
      </c>
      <c r="S230" s="27" t="n">
        <f aca="false">IF(Q230-R230&lt;0.005,0,Q230-R230)</f>
        <v>0</v>
      </c>
      <c r="T230" s="27" t="n">
        <f aca="false">MAX(0,IF(N(S229)&lt;=0.005,P230,P230+N('Min gæld'!$E$8)-R230))</f>
        <v>4800</v>
      </c>
      <c r="U230" s="27" t="n">
        <f aca="false">IF(N(W229)&lt;=0.005,0,N(W229)*(1+N('Min gæld'!$D$9)/12))</f>
        <v>0</v>
      </c>
      <c r="V230" s="27" t="n">
        <f aca="false">IF(U230&lt;=0,0,MIN(U230,N('Min gæld'!$E$9)+T230))</f>
        <v>0</v>
      </c>
      <c r="W230" s="27" t="n">
        <f aca="false">IF(U230-V230&lt;0.005,0,U230-V230)</f>
        <v>0</v>
      </c>
      <c r="X230" s="27" t="n">
        <f aca="false">MAX(0,IF(N(W229)&lt;=0.005,T230,T230+N('Min gæld'!$E$9)-V230))</f>
        <v>4800</v>
      </c>
      <c r="Y230" s="27" t="n">
        <f aca="false">IF(N(AA229)&lt;=0.005,0,N(AA229)*(1+N('Min gæld'!$D$10)/12))</f>
        <v>0</v>
      </c>
      <c r="Z230" s="27" t="n">
        <f aca="false">IF(Y230&lt;=0,0,MIN(Y230,N('Min gæld'!$E$10)+X230))</f>
        <v>0</v>
      </c>
      <c r="AA230" s="27" t="n">
        <f aca="false">IF(Y230-Z230&lt;0.005,0,Y230-Z230)</f>
        <v>0</v>
      </c>
      <c r="AB230" s="27" t="n">
        <f aca="false">MAX(0,IF(N(AA229)&lt;=0.005,X230,X230+N('Min gæld'!$E$10)-Z230))</f>
        <v>4800</v>
      </c>
      <c r="AC230" s="27" t="n">
        <f aca="false">IF(N(AE229)&lt;=0.005,0,N(AE229)*(1+N('Min gæld'!$D$11)/12))</f>
        <v>0</v>
      </c>
      <c r="AD230" s="27" t="n">
        <f aca="false">IF(AC230&lt;=0,0,MIN(AC230,N('Min gæld'!$E$11)+AB230))</f>
        <v>0</v>
      </c>
      <c r="AE230" s="27" t="n">
        <f aca="false">IF(AC230-AD230&lt;0.005,0,AC230-AD230)</f>
        <v>0</v>
      </c>
      <c r="AF230" s="27" t="n">
        <f aca="false">MAX(0,IF(N(AE229)&lt;=0.005,AB230,AB230+N('Min gæld'!$E$11)-AD230))</f>
        <v>4800</v>
      </c>
      <c r="AG230" s="27" t="n">
        <f aca="false">IF(N(AI229)&lt;=0.005,0,N(AI229)*(1+N('Min gæld'!$D$12)/12))</f>
        <v>0</v>
      </c>
      <c r="AH230" s="27" t="n">
        <f aca="false">IF(AG230&lt;=0,0,MIN(AG230,N('Min gæld'!$E$12)+AF230))</f>
        <v>0</v>
      </c>
      <c r="AI230" s="27" t="n">
        <f aca="false">IF(AG230-AH230&lt;0.005,0,AG230-AH230)</f>
        <v>0</v>
      </c>
      <c r="AJ230" s="27" t="n">
        <f aca="false">G230+K230+O230+S230+W230+AA230+AE230+AI230</f>
        <v>0</v>
      </c>
      <c r="AK230" s="28" t="n">
        <f aca="false">IF(E230&gt;0,E230-N(G229),0)+IF(I230&gt;0,I230-N(K229),0)+IF(M230&gt;0,M230-N(O229),0)+IF(Q230&gt;0,Q230-N(S229),0)+IF(U230&gt;0,U230-N(W229),0)+IF(Y230&gt;0,Y230-N(AA229),0)+IF(AC230&gt;0,AC230-N(AE229),0)+IF(AG230&gt;0,AG230-N(AI229),0)</f>
        <v>0</v>
      </c>
    </row>
    <row r="231" customFormat="false" ht="15" hidden="false" customHeight="false" outlineLevel="0" collapsed="false">
      <c r="A231" s="25" t="n">
        <v>226</v>
      </c>
      <c r="B231" s="26" t="n">
        <f aca="false">EDATE('Min gæld'!$C$16,225)</f>
        <v>53236</v>
      </c>
      <c r="C231" s="27" t="n">
        <f aca="false">N('Min gæld'!$C$15)+IF(N(G230)&lt;=0.005,N('Min gæld'!$E$5),0)+IF(N(K230)&lt;=0.005,N('Min gæld'!$E$6),0)+IF(N(O230)&lt;=0.005,N('Min gæld'!$E$7),0)+IF(N(S230)&lt;=0.005,N('Min gæld'!$E$8),0)+IF(N(W230)&lt;=0.005,N('Min gæld'!$E$9),0)+IF(N(AA230)&lt;=0.005,N('Min gæld'!$E$10),0)+IF(N(AE230)&lt;=0.005,N('Min gæld'!$E$11),0)+IF(N(AI230)&lt;=0.005,N('Min gæld'!$E$12),0)</f>
        <v>4800</v>
      </c>
      <c r="D231" s="27" t="n">
        <f aca="false">MAX(0,C231)</f>
        <v>4800</v>
      </c>
      <c r="E231" s="27" t="n">
        <f aca="false">IF(N(G230)&lt;=0.005,0,N(G230)*(1+N('Min gæld'!$D$5)/12))</f>
        <v>0</v>
      </c>
      <c r="F231" s="27" t="n">
        <f aca="false">IF(E231&lt;=0,0,MIN(E231,N('Min gæld'!$E$5)+D231))</f>
        <v>0</v>
      </c>
      <c r="G231" s="27" t="n">
        <f aca="false">IF(E231-F231&lt;0.005,0,E231-F231)</f>
        <v>0</v>
      </c>
      <c r="H231" s="27" t="n">
        <f aca="false">MAX(0,IF(N(G230)&lt;=0.005,D231,D231+N('Min gæld'!$E$5)-F231))</f>
        <v>4800</v>
      </c>
      <c r="I231" s="27" t="n">
        <f aca="false">IF(N(K230)&lt;=0.005,0,N(K230)*(1+N('Min gæld'!$D$6)/12))</f>
        <v>0</v>
      </c>
      <c r="J231" s="27" t="n">
        <f aca="false">IF(I231&lt;=0,0,MIN(I231,N('Min gæld'!$E$6)+H231))</f>
        <v>0</v>
      </c>
      <c r="K231" s="27" t="n">
        <f aca="false">IF(I231-J231&lt;0.005,0,I231-J231)</f>
        <v>0</v>
      </c>
      <c r="L231" s="27" t="n">
        <f aca="false">MAX(0,IF(N(K230)&lt;=0.005,H231,H231+N('Min gæld'!$E$6)-J231))</f>
        <v>4800</v>
      </c>
      <c r="M231" s="27" t="n">
        <f aca="false">IF(N(O230)&lt;=0.005,0,N(O230)*(1+N('Min gæld'!$D$7)/12))</f>
        <v>0</v>
      </c>
      <c r="N231" s="27" t="n">
        <f aca="false">IF(M231&lt;=0,0,MIN(M231,N('Min gæld'!$E$7)+L231))</f>
        <v>0</v>
      </c>
      <c r="O231" s="27" t="n">
        <f aca="false">IF(M231-N231&lt;0.005,0,M231-N231)</f>
        <v>0</v>
      </c>
      <c r="P231" s="27" t="n">
        <f aca="false">MAX(0,IF(N(O230)&lt;=0.005,L231,L231+N('Min gæld'!$E$7)-N231))</f>
        <v>4800</v>
      </c>
      <c r="Q231" s="27" t="n">
        <f aca="false">IF(N(S230)&lt;=0.005,0,N(S230)*(1+N('Min gæld'!$D$8)/12))</f>
        <v>0</v>
      </c>
      <c r="R231" s="27" t="n">
        <f aca="false">IF(Q231&lt;=0,0,MIN(Q231,N('Min gæld'!$E$8)+P231))</f>
        <v>0</v>
      </c>
      <c r="S231" s="27" t="n">
        <f aca="false">IF(Q231-R231&lt;0.005,0,Q231-R231)</f>
        <v>0</v>
      </c>
      <c r="T231" s="27" t="n">
        <f aca="false">MAX(0,IF(N(S230)&lt;=0.005,P231,P231+N('Min gæld'!$E$8)-R231))</f>
        <v>4800</v>
      </c>
      <c r="U231" s="27" t="n">
        <f aca="false">IF(N(W230)&lt;=0.005,0,N(W230)*(1+N('Min gæld'!$D$9)/12))</f>
        <v>0</v>
      </c>
      <c r="V231" s="27" t="n">
        <f aca="false">IF(U231&lt;=0,0,MIN(U231,N('Min gæld'!$E$9)+T231))</f>
        <v>0</v>
      </c>
      <c r="W231" s="27" t="n">
        <f aca="false">IF(U231-V231&lt;0.005,0,U231-V231)</f>
        <v>0</v>
      </c>
      <c r="X231" s="27" t="n">
        <f aca="false">MAX(0,IF(N(W230)&lt;=0.005,T231,T231+N('Min gæld'!$E$9)-V231))</f>
        <v>4800</v>
      </c>
      <c r="Y231" s="27" t="n">
        <f aca="false">IF(N(AA230)&lt;=0.005,0,N(AA230)*(1+N('Min gæld'!$D$10)/12))</f>
        <v>0</v>
      </c>
      <c r="Z231" s="27" t="n">
        <f aca="false">IF(Y231&lt;=0,0,MIN(Y231,N('Min gæld'!$E$10)+X231))</f>
        <v>0</v>
      </c>
      <c r="AA231" s="27" t="n">
        <f aca="false">IF(Y231-Z231&lt;0.005,0,Y231-Z231)</f>
        <v>0</v>
      </c>
      <c r="AB231" s="27" t="n">
        <f aca="false">MAX(0,IF(N(AA230)&lt;=0.005,X231,X231+N('Min gæld'!$E$10)-Z231))</f>
        <v>4800</v>
      </c>
      <c r="AC231" s="27" t="n">
        <f aca="false">IF(N(AE230)&lt;=0.005,0,N(AE230)*(1+N('Min gæld'!$D$11)/12))</f>
        <v>0</v>
      </c>
      <c r="AD231" s="27" t="n">
        <f aca="false">IF(AC231&lt;=0,0,MIN(AC231,N('Min gæld'!$E$11)+AB231))</f>
        <v>0</v>
      </c>
      <c r="AE231" s="27" t="n">
        <f aca="false">IF(AC231-AD231&lt;0.005,0,AC231-AD231)</f>
        <v>0</v>
      </c>
      <c r="AF231" s="27" t="n">
        <f aca="false">MAX(0,IF(N(AE230)&lt;=0.005,AB231,AB231+N('Min gæld'!$E$11)-AD231))</f>
        <v>4800</v>
      </c>
      <c r="AG231" s="27" t="n">
        <f aca="false">IF(N(AI230)&lt;=0.005,0,N(AI230)*(1+N('Min gæld'!$D$12)/12))</f>
        <v>0</v>
      </c>
      <c r="AH231" s="27" t="n">
        <f aca="false">IF(AG231&lt;=0,0,MIN(AG231,N('Min gæld'!$E$12)+AF231))</f>
        <v>0</v>
      </c>
      <c r="AI231" s="27" t="n">
        <f aca="false">IF(AG231-AH231&lt;0.005,0,AG231-AH231)</f>
        <v>0</v>
      </c>
      <c r="AJ231" s="27" t="n">
        <f aca="false">G231+K231+O231+S231+W231+AA231+AE231+AI231</f>
        <v>0</v>
      </c>
      <c r="AK231" s="28" t="n">
        <f aca="false">IF(E231&gt;0,E231-N(G230),0)+IF(I231&gt;0,I231-N(K230),0)+IF(M231&gt;0,M231-N(O230),0)+IF(Q231&gt;0,Q231-N(S230),0)+IF(U231&gt;0,U231-N(W230),0)+IF(Y231&gt;0,Y231-N(AA230),0)+IF(AC231&gt;0,AC231-N(AE230),0)+IF(AG231&gt;0,AG231-N(AI230),0)</f>
        <v>0</v>
      </c>
    </row>
    <row r="232" customFormat="false" ht="15" hidden="false" customHeight="false" outlineLevel="0" collapsed="false">
      <c r="A232" s="25" t="n">
        <v>227</v>
      </c>
      <c r="B232" s="26" t="n">
        <f aca="false">EDATE('Min gæld'!$C$16,226)</f>
        <v>53267</v>
      </c>
      <c r="C232" s="27" t="n">
        <f aca="false">N('Min gæld'!$C$15)+IF(N(G231)&lt;=0.005,N('Min gæld'!$E$5),0)+IF(N(K231)&lt;=0.005,N('Min gæld'!$E$6),0)+IF(N(O231)&lt;=0.005,N('Min gæld'!$E$7),0)+IF(N(S231)&lt;=0.005,N('Min gæld'!$E$8),0)+IF(N(W231)&lt;=0.005,N('Min gæld'!$E$9),0)+IF(N(AA231)&lt;=0.005,N('Min gæld'!$E$10),0)+IF(N(AE231)&lt;=0.005,N('Min gæld'!$E$11),0)+IF(N(AI231)&lt;=0.005,N('Min gæld'!$E$12),0)</f>
        <v>4800</v>
      </c>
      <c r="D232" s="27" t="n">
        <f aca="false">MAX(0,C232)</f>
        <v>4800</v>
      </c>
      <c r="E232" s="27" t="n">
        <f aca="false">IF(N(G231)&lt;=0.005,0,N(G231)*(1+N('Min gæld'!$D$5)/12))</f>
        <v>0</v>
      </c>
      <c r="F232" s="27" t="n">
        <f aca="false">IF(E232&lt;=0,0,MIN(E232,N('Min gæld'!$E$5)+D232))</f>
        <v>0</v>
      </c>
      <c r="G232" s="27" t="n">
        <f aca="false">IF(E232-F232&lt;0.005,0,E232-F232)</f>
        <v>0</v>
      </c>
      <c r="H232" s="27" t="n">
        <f aca="false">MAX(0,IF(N(G231)&lt;=0.005,D232,D232+N('Min gæld'!$E$5)-F232))</f>
        <v>4800</v>
      </c>
      <c r="I232" s="27" t="n">
        <f aca="false">IF(N(K231)&lt;=0.005,0,N(K231)*(1+N('Min gæld'!$D$6)/12))</f>
        <v>0</v>
      </c>
      <c r="J232" s="27" t="n">
        <f aca="false">IF(I232&lt;=0,0,MIN(I232,N('Min gæld'!$E$6)+H232))</f>
        <v>0</v>
      </c>
      <c r="K232" s="27" t="n">
        <f aca="false">IF(I232-J232&lt;0.005,0,I232-J232)</f>
        <v>0</v>
      </c>
      <c r="L232" s="27" t="n">
        <f aca="false">MAX(0,IF(N(K231)&lt;=0.005,H232,H232+N('Min gæld'!$E$6)-J232))</f>
        <v>4800</v>
      </c>
      <c r="M232" s="27" t="n">
        <f aca="false">IF(N(O231)&lt;=0.005,0,N(O231)*(1+N('Min gæld'!$D$7)/12))</f>
        <v>0</v>
      </c>
      <c r="N232" s="27" t="n">
        <f aca="false">IF(M232&lt;=0,0,MIN(M232,N('Min gæld'!$E$7)+L232))</f>
        <v>0</v>
      </c>
      <c r="O232" s="27" t="n">
        <f aca="false">IF(M232-N232&lt;0.005,0,M232-N232)</f>
        <v>0</v>
      </c>
      <c r="P232" s="27" t="n">
        <f aca="false">MAX(0,IF(N(O231)&lt;=0.005,L232,L232+N('Min gæld'!$E$7)-N232))</f>
        <v>4800</v>
      </c>
      <c r="Q232" s="27" t="n">
        <f aca="false">IF(N(S231)&lt;=0.005,0,N(S231)*(1+N('Min gæld'!$D$8)/12))</f>
        <v>0</v>
      </c>
      <c r="R232" s="27" t="n">
        <f aca="false">IF(Q232&lt;=0,0,MIN(Q232,N('Min gæld'!$E$8)+P232))</f>
        <v>0</v>
      </c>
      <c r="S232" s="27" t="n">
        <f aca="false">IF(Q232-R232&lt;0.005,0,Q232-R232)</f>
        <v>0</v>
      </c>
      <c r="T232" s="27" t="n">
        <f aca="false">MAX(0,IF(N(S231)&lt;=0.005,P232,P232+N('Min gæld'!$E$8)-R232))</f>
        <v>4800</v>
      </c>
      <c r="U232" s="27" t="n">
        <f aca="false">IF(N(W231)&lt;=0.005,0,N(W231)*(1+N('Min gæld'!$D$9)/12))</f>
        <v>0</v>
      </c>
      <c r="V232" s="27" t="n">
        <f aca="false">IF(U232&lt;=0,0,MIN(U232,N('Min gæld'!$E$9)+T232))</f>
        <v>0</v>
      </c>
      <c r="W232" s="27" t="n">
        <f aca="false">IF(U232-V232&lt;0.005,0,U232-V232)</f>
        <v>0</v>
      </c>
      <c r="X232" s="27" t="n">
        <f aca="false">MAX(0,IF(N(W231)&lt;=0.005,T232,T232+N('Min gæld'!$E$9)-V232))</f>
        <v>4800</v>
      </c>
      <c r="Y232" s="27" t="n">
        <f aca="false">IF(N(AA231)&lt;=0.005,0,N(AA231)*(1+N('Min gæld'!$D$10)/12))</f>
        <v>0</v>
      </c>
      <c r="Z232" s="27" t="n">
        <f aca="false">IF(Y232&lt;=0,0,MIN(Y232,N('Min gæld'!$E$10)+X232))</f>
        <v>0</v>
      </c>
      <c r="AA232" s="27" t="n">
        <f aca="false">IF(Y232-Z232&lt;0.005,0,Y232-Z232)</f>
        <v>0</v>
      </c>
      <c r="AB232" s="27" t="n">
        <f aca="false">MAX(0,IF(N(AA231)&lt;=0.005,X232,X232+N('Min gæld'!$E$10)-Z232))</f>
        <v>4800</v>
      </c>
      <c r="AC232" s="27" t="n">
        <f aca="false">IF(N(AE231)&lt;=0.005,0,N(AE231)*(1+N('Min gæld'!$D$11)/12))</f>
        <v>0</v>
      </c>
      <c r="AD232" s="27" t="n">
        <f aca="false">IF(AC232&lt;=0,0,MIN(AC232,N('Min gæld'!$E$11)+AB232))</f>
        <v>0</v>
      </c>
      <c r="AE232" s="27" t="n">
        <f aca="false">IF(AC232-AD232&lt;0.005,0,AC232-AD232)</f>
        <v>0</v>
      </c>
      <c r="AF232" s="27" t="n">
        <f aca="false">MAX(0,IF(N(AE231)&lt;=0.005,AB232,AB232+N('Min gæld'!$E$11)-AD232))</f>
        <v>4800</v>
      </c>
      <c r="AG232" s="27" t="n">
        <f aca="false">IF(N(AI231)&lt;=0.005,0,N(AI231)*(1+N('Min gæld'!$D$12)/12))</f>
        <v>0</v>
      </c>
      <c r="AH232" s="27" t="n">
        <f aca="false">IF(AG232&lt;=0,0,MIN(AG232,N('Min gæld'!$E$12)+AF232))</f>
        <v>0</v>
      </c>
      <c r="AI232" s="27" t="n">
        <f aca="false">IF(AG232-AH232&lt;0.005,0,AG232-AH232)</f>
        <v>0</v>
      </c>
      <c r="AJ232" s="27" t="n">
        <f aca="false">G232+K232+O232+S232+W232+AA232+AE232+AI232</f>
        <v>0</v>
      </c>
      <c r="AK232" s="28" t="n">
        <f aca="false">IF(E232&gt;0,E232-N(G231),0)+IF(I232&gt;0,I232-N(K231),0)+IF(M232&gt;0,M232-N(O231),0)+IF(Q232&gt;0,Q232-N(S231),0)+IF(U232&gt;0,U232-N(W231),0)+IF(Y232&gt;0,Y232-N(AA231),0)+IF(AC232&gt;0,AC232-N(AE231),0)+IF(AG232&gt;0,AG232-N(AI231),0)</f>
        <v>0</v>
      </c>
    </row>
    <row r="233" customFormat="false" ht="15" hidden="false" customHeight="false" outlineLevel="0" collapsed="false">
      <c r="A233" s="25" t="n">
        <v>228</v>
      </c>
      <c r="B233" s="26" t="n">
        <f aca="false">EDATE('Min gæld'!$C$16,227)</f>
        <v>53297</v>
      </c>
      <c r="C233" s="27" t="n">
        <f aca="false">N('Min gæld'!$C$15)+IF(N(G232)&lt;=0.005,N('Min gæld'!$E$5),0)+IF(N(K232)&lt;=0.005,N('Min gæld'!$E$6),0)+IF(N(O232)&lt;=0.005,N('Min gæld'!$E$7),0)+IF(N(S232)&lt;=0.005,N('Min gæld'!$E$8),0)+IF(N(W232)&lt;=0.005,N('Min gæld'!$E$9),0)+IF(N(AA232)&lt;=0.005,N('Min gæld'!$E$10),0)+IF(N(AE232)&lt;=0.005,N('Min gæld'!$E$11),0)+IF(N(AI232)&lt;=0.005,N('Min gæld'!$E$12),0)</f>
        <v>4800</v>
      </c>
      <c r="D233" s="27" t="n">
        <f aca="false">MAX(0,C233)</f>
        <v>4800</v>
      </c>
      <c r="E233" s="27" t="n">
        <f aca="false">IF(N(G232)&lt;=0.005,0,N(G232)*(1+N('Min gæld'!$D$5)/12))</f>
        <v>0</v>
      </c>
      <c r="F233" s="27" t="n">
        <f aca="false">IF(E233&lt;=0,0,MIN(E233,N('Min gæld'!$E$5)+D233))</f>
        <v>0</v>
      </c>
      <c r="G233" s="27" t="n">
        <f aca="false">IF(E233-F233&lt;0.005,0,E233-F233)</f>
        <v>0</v>
      </c>
      <c r="H233" s="27" t="n">
        <f aca="false">MAX(0,IF(N(G232)&lt;=0.005,D233,D233+N('Min gæld'!$E$5)-F233))</f>
        <v>4800</v>
      </c>
      <c r="I233" s="27" t="n">
        <f aca="false">IF(N(K232)&lt;=0.005,0,N(K232)*(1+N('Min gæld'!$D$6)/12))</f>
        <v>0</v>
      </c>
      <c r="J233" s="27" t="n">
        <f aca="false">IF(I233&lt;=0,0,MIN(I233,N('Min gæld'!$E$6)+H233))</f>
        <v>0</v>
      </c>
      <c r="K233" s="27" t="n">
        <f aca="false">IF(I233-J233&lt;0.005,0,I233-J233)</f>
        <v>0</v>
      </c>
      <c r="L233" s="27" t="n">
        <f aca="false">MAX(0,IF(N(K232)&lt;=0.005,H233,H233+N('Min gæld'!$E$6)-J233))</f>
        <v>4800</v>
      </c>
      <c r="M233" s="27" t="n">
        <f aca="false">IF(N(O232)&lt;=0.005,0,N(O232)*(1+N('Min gæld'!$D$7)/12))</f>
        <v>0</v>
      </c>
      <c r="N233" s="27" t="n">
        <f aca="false">IF(M233&lt;=0,0,MIN(M233,N('Min gæld'!$E$7)+L233))</f>
        <v>0</v>
      </c>
      <c r="O233" s="27" t="n">
        <f aca="false">IF(M233-N233&lt;0.005,0,M233-N233)</f>
        <v>0</v>
      </c>
      <c r="P233" s="27" t="n">
        <f aca="false">MAX(0,IF(N(O232)&lt;=0.005,L233,L233+N('Min gæld'!$E$7)-N233))</f>
        <v>4800</v>
      </c>
      <c r="Q233" s="27" t="n">
        <f aca="false">IF(N(S232)&lt;=0.005,0,N(S232)*(1+N('Min gæld'!$D$8)/12))</f>
        <v>0</v>
      </c>
      <c r="R233" s="27" t="n">
        <f aca="false">IF(Q233&lt;=0,0,MIN(Q233,N('Min gæld'!$E$8)+P233))</f>
        <v>0</v>
      </c>
      <c r="S233" s="27" t="n">
        <f aca="false">IF(Q233-R233&lt;0.005,0,Q233-R233)</f>
        <v>0</v>
      </c>
      <c r="T233" s="27" t="n">
        <f aca="false">MAX(0,IF(N(S232)&lt;=0.005,P233,P233+N('Min gæld'!$E$8)-R233))</f>
        <v>4800</v>
      </c>
      <c r="U233" s="27" t="n">
        <f aca="false">IF(N(W232)&lt;=0.005,0,N(W232)*(1+N('Min gæld'!$D$9)/12))</f>
        <v>0</v>
      </c>
      <c r="V233" s="27" t="n">
        <f aca="false">IF(U233&lt;=0,0,MIN(U233,N('Min gæld'!$E$9)+T233))</f>
        <v>0</v>
      </c>
      <c r="W233" s="27" t="n">
        <f aca="false">IF(U233-V233&lt;0.005,0,U233-V233)</f>
        <v>0</v>
      </c>
      <c r="X233" s="27" t="n">
        <f aca="false">MAX(0,IF(N(W232)&lt;=0.005,T233,T233+N('Min gæld'!$E$9)-V233))</f>
        <v>4800</v>
      </c>
      <c r="Y233" s="27" t="n">
        <f aca="false">IF(N(AA232)&lt;=0.005,0,N(AA232)*(1+N('Min gæld'!$D$10)/12))</f>
        <v>0</v>
      </c>
      <c r="Z233" s="27" t="n">
        <f aca="false">IF(Y233&lt;=0,0,MIN(Y233,N('Min gæld'!$E$10)+X233))</f>
        <v>0</v>
      </c>
      <c r="AA233" s="27" t="n">
        <f aca="false">IF(Y233-Z233&lt;0.005,0,Y233-Z233)</f>
        <v>0</v>
      </c>
      <c r="AB233" s="27" t="n">
        <f aca="false">MAX(0,IF(N(AA232)&lt;=0.005,X233,X233+N('Min gæld'!$E$10)-Z233))</f>
        <v>4800</v>
      </c>
      <c r="AC233" s="27" t="n">
        <f aca="false">IF(N(AE232)&lt;=0.005,0,N(AE232)*(1+N('Min gæld'!$D$11)/12))</f>
        <v>0</v>
      </c>
      <c r="AD233" s="27" t="n">
        <f aca="false">IF(AC233&lt;=0,0,MIN(AC233,N('Min gæld'!$E$11)+AB233))</f>
        <v>0</v>
      </c>
      <c r="AE233" s="27" t="n">
        <f aca="false">IF(AC233-AD233&lt;0.005,0,AC233-AD233)</f>
        <v>0</v>
      </c>
      <c r="AF233" s="27" t="n">
        <f aca="false">MAX(0,IF(N(AE232)&lt;=0.005,AB233,AB233+N('Min gæld'!$E$11)-AD233))</f>
        <v>4800</v>
      </c>
      <c r="AG233" s="27" t="n">
        <f aca="false">IF(N(AI232)&lt;=0.005,0,N(AI232)*(1+N('Min gæld'!$D$12)/12))</f>
        <v>0</v>
      </c>
      <c r="AH233" s="27" t="n">
        <f aca="false">IF(AG233&lt;=0,0,MIN(AG233,N('Min gæld'!$E$12)+AF233))</f>
        <v>0</v>
      </c>
      <c r="AI233" s="27" t="n">
        <f aca="false">IF(AG233-AH233&lt;0.005,0,AG233-AH233)</f>
        <v>0</v>
      </c>
      <c r="AJ233" s="27" t="n">
        <f aca="false">G233+K233+O233+S233+W233+AA233+AE233+AI233</f>
        <v>0</v>
      </c>
      <c r="AK233" s="28" t="n">
        <f aca="false">IF(E233&gt;0,E233-N(G232),0)+IF(I233&gt;0,I233-N(K232),0)+IF(M233&gt;0,M233-N(O232),0)+IF(Q233&gt;0,Q233-N(S232),0)+IF(U233&gt;0,U233-N(W232),0)+IF(Y233&gt;0,Y233-N(AA232),0)+IF(AC233&gt;0,AC233-N(AE232),0)+IF(AG233&gt;0,AG233-N(AI232),0)</f>
        <v>0</v>
      </c>
    </row>
    <row r="234" customFormat="false" ht="15" hidden="false" customHeight="false" outlineLevel="0" collapsed="false">
      <c r="A234" s="25" t="n">
        <v>229</v>
      </c>
      <c r="B234" s="26" t="n">
        <f aca="false">EDATE('Min gæld'!$C$16,228)</f>
        <v>53328</v>
      </c>
      <c r="C234" s="27" t="n">
        <f aca="false">N('Min gæld'!$C$15)+IF(N(G233)&lt;=0.005,N('Min gæld'!$E$5),0)+IF(N(K233)&lt;=0.005,N('Min gæld'!$E$6),0)+IF(N(O233)&lt;=0.005,N('Min gæld'!$E$7),0)+IF(N(S233)&lt;=0.005,N('Min gæld'!$E$8),0)+IF(N(W233)&lt;=0.005,N('Min gæld'!$E$9),0)+IF(N(AA233)&lt;=0.005,N('Min gæld'!$E$10),0)+IF(N(AE233)&lt;=0.005,N('Min gæld'!$E$11),0)+IF(N(AI233)&lt;=0.005,N('Min gæld'!$E$12),0)</f>
        <v>4800</v>
      </c>
      <c r="D234" s="27" t="n">
        <f aca="false">MAX(0,C234)</f>
        <v>4800</v>
      </c>
      <c r="E234" s="27" t="n">
        <f aca="false">IF(N(G233)&lt;=0.005,0,N(G233)*(1+N('Min gæld'!$D$5)/12))</f>
        <v>0</v>
      </c>
      <c r="F234" s="27" t="n">
        <f aca="false">IF(E234&lt;=0,0,MIN(E234,N('Min gæld'!$E$5)+D234))</f>
        <v>0</v>
      </c>
      <c r="G234" s="27" t="n">
        <f aca="false">IF(E234-F234&lt;0.005,0,E234-F234)</f>
        <v>0</v>
      </c>
      <c r="H234" s="27" t="n">
        <f aca="false">MAX(0,IF(N(G233)&lt;=0.005,D234,D234+N('Min gæld'!$E$5)-F234))</f>
        <v>4800</v>
      </c>
      <c r="I234" s="27" t="n">
        <f aca="false">IF(N(K233)&lt;=0.005,0,N(K233)*(1+N('Min gæld'!$D$6)/12))</f>
        <v>0</v>
      </c>
      <c r="J234" s="27" t="n">
        <f aca="false">IF(I234&lt;=0,0,MIN(I234,N('Min gæld'!$E$6)+H234))</f>
        <v>0</v>
      </c>
      <c r="K234" s="27" t="n">
        <f aca="false">IF(I234-J234&lt;0.005,0,I234-J234)</f>
        <v>0</v>
      </c>
      <c r="L234" s="27" t="n">
        <f aca="false">MAX(0,IF(N(K233)&lt;=0.005,H234,H234+N('Min gæld'!$E$6)-J234))</f>
        <v>4800</v>
      </c>
      <c r="M234" s="27" t="n">
        <f aca="false">IF(N(O233)&lt;=0.005,0,N(O233)*(1+N('Min gæld'!$D$7)/12))</f>
        <v>0</v>
      </c>
      <c r="N234" s="27" t="n">
        <f aca="false">IF(M234&lt;=0,0,MIN(M234,N('Min gæld'!$E$7)+L234))</f>
        <v>0</v>
      </c>
      <c r="O234" s="27" t="n">
        <f aca="false">IF(M234-N234&lt;0.005,0,M234-N234)</f>
        <v>0</v>
      </c>
      <c r="P234" s="27" t="n">
        <f aca="false">MAX(0,IF(N(O233)&lt;=0.005,L234,L234+N('Min gæld'!$E$7)-N234))</f>
        <v>4800</v>
      </c>
      <c r="Q234" s="27" t="n">
        <f aca="false">IF(N(S233)&lt;=0.005,0,N(S233)*(1+N('Min gæld'!$D$8)/12))</f>
        <v>0</v>
      </c>
      <c r="R234" s="27" t="n">
        <f aca="false">IF(Q234&lt;=0,0,MIN(Q234,N('Min gæld'!$E$8)+P234))</f>
        <v>0</v>
      </c>
      <c r="S234" s="27" t="n">
        <f aca="false">IF(Q234-R234&lt;0.005,0,Q234-R234)</f>
        <v>0</v>
      </c>
      <c r="T234" s="27" t="n">
        <f aca="false">MAX(0,IF(N(S233)&lt;=0.005,P234,P234+N('Min gæld'!$E$8)-R234))</f>
        <v>4800</v>
      </c>
      <c r="U234" s="27" t="n">
        <f aca="false">IF(N(W233)&lt;=0.005,0,N(W233)*(1+N('Min gæld'!$D$9)/12))</f>
        <v>0</v>
      </c>
      <c r="V234" s="27" t="n">
        <f aca="false">IF(U234&lt;=0,0,MIN(U234,N('Min gæld'!$E$9)+T234))</f>
        <v>0</v>
      </c>
      <c r="W234" s="27" t="n">
        <f aca="false">IF(U234-V234&lt;0.005,0,U234-V234)</f>
        <v>0</v>
      </c>
      <c r="X234" s="27" t="n">
        <f aca="false">MAX(0,IF(N(W233)&lt;=0.005,T234,T234+N('Min gæld'!$E$9)-V234))</f>
        <v>4800</v>
      </c>
      <c r="Y234" s="27" t="n">
        <f aca="false">IF(N(AA233)&lt;=0.005,0,N(AA233)*(1+N('Min gæld'!$D$10)/12))</f>
        <v>0</v>
      </c>
      <c r="Z234" s="27" t="n">
        <f aca="false">IF(Y234&lt;=0,0,MIN(Y234,N('Min gæld'!$E$10)+X234))</f>
        <v>0</v>
      </c>
      <c r="AA234" s="27" t="n">
        <f aca="false">IF(Y234-Z234&lt;0.005,0,Y234-Z234)</f>
        <v>0</v>
      </c>
      <c r="AB234" s="27" t="n">
        <f aca="false">MAX(0,IF(N(AA233)&lt;=0.005,X234,X234+N('Min gæld'!$E$10)-Z234))</f>
        <v>4800</v>
      </c>
      <c r="AC234" s="27" t="n">
        <f aca="false">IF(N(AE233)&lt;=0.005,0,N(AE233)*(1+N('Min gæld'!$D$11)/12))</f>
        <v>0</v>
      </c>
      <c r="AD234" s="27" t="n">
        <f aca="false">IF(AC234&lt;=0,0,MIN(AC234,N('Min gæld'!$E$11)+AB234))</f>
        <v>0</v>
      </c>
      <c r="AE234" s="27" t="n">
        <f aca="false">IF(AC234-AD234&lt;0.005,0,AC234-AD234)</f>
        <v>0</v>
      </c>
      <c r="AF234" s="27" t="n">
        <f aca="false">MAX(0,IF(N(AE233)&lt;=0.005,AB234,AB234+N('Min gæld'!$E$11)-AD234))</f>
        <v>4800</v>
      </c>
      <c r="AG234" s="27" t="n">
        <f aca="false">IF(N(AI233)&lt;=0.005,0,N(AI233)*(1+N('Min gæld'!$D$12)/12))</f>
        <v>0</v>
      </c>
      <c r="AH234" s="27" t="n">
        <f aca="false">IF(AG234&lt;=0,0,MIN(AG234,N('Min gæld'!$E$12)+AF234))</f>
        <v>0</v>
      </c>
      <c r="AI234" s="27" t="n">
        <f aca="false">IF(AG234-AH234&lt;0.005,0,AG234-AH234)</f>
        <v>0</v>
      </c>
      <c r="AJ234" s="27" t="n">
        <f aca="false">G234+K234+O234+S234+W234+AA234+AE234+AI234</f>
        <v>0</v>
      </c>
      <c r="AK234" s="28" t="n">
        <f aca="false">IF(E234&gt;0,E234-N(G233),0)+IF(I234&gt;0,I234-N(K233),0)+IF(M234&gt;0,M234-N(O233),0)+IF(Q234&gt;0,Q234-N(S233),0)+IF(U234&gt;0,U234-N(W233),0)+IF(Y234&gt;0,Y234-N(AA233),0)+IF(AC234&gt;0,AC234-N(AE233),0)+IF(AG234&gt;0,AG234-N(AI233),0)</f>
        <v>0</v>
      </c>
    </row>
    <row r="235" customFormat="false" ht="15" hidden="false" customHeight="false" outlineLevel="0" collapsed="false">
      <c r="A235" s="25" t="n">
        <v>230</v>
      </c>
      <c r="B235" s="26" t="n">
        <f aca="false">EDATE('Min gæld'!$C$16,229)</f>
        <v>53359</v>
      </c>
      <c r="C235" s="27" t="n">
        <f aca="false">N('Min gæld'!$C$15)+IF(N(G234)&lt;=0.005,N('Min gæld'!$E$5),0)+IF(N(K234)&lt;=0.005,N('Min gæld'!$E$6),0)+IF(N(O234)&lt;=0.005,N('Min gæld'!$E$7),0)+IF(N(S234)&lt;=0.005,N('Min gæld'!$E$8),0)+IF(N(W234)&lt;=0.005,N('Min gæld'!$E$9),0)+IF(N(AA234)&lt;=0.005,N('Min gæld'!$E$10),0)+IF(N(AE234)&lt;=0.005,N('Min gæld'!$E$11),0)+IF(N(AI234)&lt;=0.005,N('Min gæld'!$E$12),0)</f>
        <v>4800</v>
      </c>
      <c r="D235" s="27" t="n">
        <f aca="false">MAX(0,C235)</f>
        <v>4800</v>
      </c>
      <c r="E235" s="27" t="n">
        <f aca="false">IF(N(G234)&lt;=0.005,0,N(G234)*(1+N('Min gæld'!$D$5)/12))</f>
        <v>0</v>
      </c>
      <c r="F235" s="27" t="n">
        <f aca="false">IF(E235&lt;=0,0,MIN(E235,N('Min gæld'!$E$5)+D235))</f>
        <v>0</v>
      </c>
      <c r="G235" s="27" t="n">
        <f aca="false">IF(E235-F235&lt;0.005,0,E235-F235)</f>
        <v>0</v>
      </c>
      <c r="H235" s="27" t="n">
        <f aca="false">MAX(0,IF(N(G234)&lt;=0.005,D235,D235+N('Min gæld'!$E$5)-F235))</f>
        <v>4800</v>
      </c>
      <c r="I235" s="27" t="n">
        <f aca="false">IF(N(K234)&lt;=0.005,0,N(K234)*(1+N('Min gæld'!$D$6)/12))</f>
        <v>0</v>
      </c>
      <c r="J235" s="27" t="n">
        <f aca="false">IF(I235&lt;=0,0,MIN(I235,N('Min gæld'!$E$6)+H235))</f>
        <v>0</v>
      </c>
      <c r="K235" s="27" t="n">
        <f aca="false">IF(I235-J235&lt;0.005,0,I235-J235)</f>
        <v>0</v>
      </c>
      <c r="L235" s="27" t="n">
        <f aca="false">MAX(0,IF(N(K234)&lt;=0.005,H235,H235+N('Min gæld'!$E$6)-J235))</f>
        <v>4800</v>
      </c>
      <c r="M235" s="27" t="n">
        <f aca="false">IF(N(O234)&lt;=0.005,0,N(O234)*(1+N('Min gæld'!$D$7)/12))</f>
        <v>0</v>
      </c>
      <c r="N235" s="27" t="n">
        <f aca="false">IF(M235&lt;=0,0,MIN(M235,N('Min gæld'!$E$7)+L235))</f>
        <v>0</v>
      </c>
      <c r="O235" s="27" t="n">
        <f aca="false">IF(M235-N235&lt;0.005,0,M235-N235)</f>
        <v>0</v>
      </c>
      <c r="P235" s="27" t="n">
        <f aca="false">MAX(0,IF(N(O234)&lt;=0.005,L235,L235+N('Min gæld'!$E$7)-N235))</f>
        <v>4800</v>
      </c>
      <c r="Q235" s="27" t="n">
        <f aca="false">IF(N(S234)&lt;=0.005,0,N(S234)*(1+N('Min gæld'!$D$8)/12))</f>
        <v>0</v>
      </c>
      <c r="R235" s="27" t="n">
        <f aca="false">IF(Q235&lt;=0,0,MIN(Q235,N('Min gæld'!$E$8)+P235))</f>
        <v>0</v>
      </c>
      <c r="S235" s="27" t="n">
        <f aca="false">IF(Q235-R235&lt;0.005,0,Q235-R235)</f>
        <v>0</v>
      </c>
      <c r="T235" s="27" t="n">
        <f aca="false">MAX(0,IF(N(S234)&lt;=0.005,P235,P235+N('Min gæld'!$E$8)-R235))</f>
        <v>4800</v>
      </c>
      <c r="U235" s="27" t="n">
        <f aca="false">IF(N(W234)&lt;=0.005,0,N(W234)*(1+N('Min gæld'!$D$9)/12))</f>
        <v>0</v>
      </c>
      <c r="V235" s="27" t="n">
        <f aca="false">IF(U235&lt;=0,0,MIN(U235,N('Min gæld'!$E$9)+T235))</f>
        <v>0</v>
      </c>
      <c r="W235" s="27" t="n">
        <f aca="false">IF(U235-V235&lt;0.005,0,U235-V235)</f>
        <v>0</v>
      </c>
      <c r="X235" s="27" t="n">
        <f aca="false">MAX(0,IF(N(W234)&lt;=0.005,T235,T235+N('Min gæld'!$E$9)-V235))</f>
        <v>4800</v>
      </c>
      <c r="Y235" s="27" t="n">
        <f aca="false">IF(N(AA234)&lt;=0.005,0,N(AA234)*(1+N('Min gæld'!$D$10)/12))</f>
        <v>0</v>
      </c>
      <c r="Z235" s="27" t="n">
        <f aca="false">IF(Y235&lt;=0,0,MIN(Y235,N('Min gæld'!$E$10)+X235))</f>
        <v>0</v>
      </c>
      <c r="AA235" s="27" t="n">
        <f aca="false">IF(Y235-Z235&lt;0.005,0,Y235-Z235)</f>
        <v>0</v>
      </c>
      <c r="AB235" s="27" t="n">
        <f aca="false">MAX(0,IF(N(AA234)&lt;=0.005,X235,X235+N('Min gæld'!$E$10)-Z235))</f>
        <v>4800</v>
      </c>
      <c r="AC235" s="27" t="n">
        <f aca="false">IF(N(AE234)&lt;=0.005,0,N(AE234)*(1+N('Min gæld'!$D$11)/12))</f>
        <v>0</v>
      </c>
      <c r="AD235" s="27" t="n">
        <f aca="false">IF(AC235&lt;=0,0,MIN(AC235,N('Min gæld'!$E$11)+AB235))</f>
        <v>0</v>
      </c>
      <c r="AE235" s="27" t="n">
        <f aca="false">IF(AC235-AD235&lt;0.005,0,AC235-AD235)</f>
        <v>0</v>
      </c>
      <c r="AF235" s="27" t="n">
        <f aca="false">MAX(0,IF(N(AE234)&lt;=0.005,AB235,AB235+N('Min gæld'!$E$11)-AD235))</f>
        <v>4800</v>
      </c>
      <c r="AG235" s="27" t="n">
        <f aca="false">IF(N(AI234)&lt;=0.005,0,N(AI234)*(1+N('Min gæld'!$D$12)/12))</f>
        <v>0</v>
      </c>
      <c r="AH235" s="27" t="n">
        <f aca="false">IF(AG235&lt;=0,0,MIN(AG235,N('Min gæld'!$E$12)+AF235))</f>
        <v>0</v>
      </c>
      <c r="AI235" s="27" t="n">
        <f aca="false">IF(AG235-AH235&lt;0.005,0,AG235-AH235)</f>
        <v>0</v>
      </c>
      <c r="AJ235" s="27" t="n">
        <f aca="false">G235+K235+O235+S235+W235+AA235+AE235+AI235</f>
        <v>0</v>
      </c>
      <c r="AK235" s="28" t="n">
        <f aca="false">IF(E235&gt;0,E235-N(G234),0)+IF(I235&gt;0,I235-N(K234),0)+IF(M235&gt;0,M235-N(O234),0)+IF(Q235&gt;0,Q235-N(S234),0)+IF(U235&gt;0,U235-N(W234),0)+IF(Y235&gt;0,Y235-N(AA234),0)+IF(AC235&gt;0,AC235-N(AE234),0)+IF(AG235&gt;0,AG235-N(AI234),0)</f>
        <v>0</v>
      </c>
    </row>
    <row r="236" customFormat="false" ht="15" hidden="false" customHeight="false" outlineLevel="0" collapsed="false">
      <c r="A236" s="25" t="n">
        <v>231</v>
      </c>
      <c r="B236" s="26" t="n">
        <f aca="false">EDATE('Min gæld'!$C$16,230)</f>
        <v>53387</v>
      </c>
      <c r="C236" s="27" t="n">
        <f aca="false">N('Min gæld'!$C$15)+IF(N(G235)&lt;=0.005,N('Min gæld'!$E$5),0)+IF(N(K235)&lt;=0.005,N('Min gæld'!$E$6),0)+IF(N(O235)&lt;=0.005,N('Min gæld'!$E$7),0)+IF(N(S235)&lt;=0.005,N('Min gæld'!$E$8),0)+IF(N(W235)&lt;=0.005,N('Min gæld'!$E$9),0)+IF(N(AA235)&lt;=0.005,N('Min gæld'!$E$10),0)+IF(N(AE235)&lt;=0.005,N('Min gæld'!$E$11),0)+IF(N(AI235)&lt;=0.005,N('Min gæld'!$E$12),0)</f>
        <v>4800</v>
      </c>
      <c r="D236" s="27" t="n">
        <f aca="false">MAX(0,C236)</f>
        <v>4800</v>
      </c>
      <c r="E236" s="27" t="n">
        <f aca="false">IF(N(G235)&lt;=0.005,0,N(G235)*(1+N('Min gæld'!$D$5)/12))</f>
        <v>0</v>
      </c>
      <c r="F236" s="27" t="n">
        <f aca="false">IF(E236&lt;=0,0,MIN(E236,N('Min gæld'!$E$5)+D236))</f>
        <v>0</v>
      </c>
      <c r="G236" s="27" t="n">
        <f aca="false">IF(E236-F236&lt;0.005,0,E236-F236)</f>
        <v>0</v>
      </c>
      <c r="H236" s="27" t="n">
        <f aca="false">MAX(0,IF(N(G235)&lt;=0.005,D236,D236+N('Min gæld'!$E$5)-F236))</f>
        <v>4800</v>
      </c>
      <c r="I236" s="27" t="n">
        <f aca="false">IF(N(K235)&lt;=0.005,0,N(K235)*(1+N('Min gæld'!$D$6)/12))</f>
        <v>0</v>
      </c>
      <c r="J236" s="27" t="n">
        <f aca="false">IF(I236&lt;=0,0,MIN(I236,N('Min gæld'!$E$6)+H236))</f>
        <v>0</v>
      </c>
      <c r="K236" s="27" t="n">
        <f aca="false">IF(I236-J236&lt;0.005,0,I236-J236)</f>
        <v>0</v>
      </c>
      <c r="L236" s="27" t="n">
        <f aca="false">MAX(0,IF(N(K235)&lt;=0.005,H236,H236+N('Min gæld'!$E$6)-J236))</f>
        <v>4800</v>
      </c>
      <c r="M236" s="27" t="n">
        <f aca="false">IF(N(O235)&lt;=0.005,0,N(O235)*(1+N('Min gæld'!$D$7)/12))</f>
        <v>0</v>
      </c>
      <c r="N236" s="27" t="n">
        <f aca="false">IF(M236&lt;=0,0,MIN(M236,N('Min gæld'!$E$7)+L236))</f>
        <v>0</v>
      </c>
      <c r="O236" s="27" t="n">
        <f aca="false">IF(M236-N236&lt;0.005,0,M236-N236)</f>
        <v>0</v>
      </c>
      <c r="P236" s="27" t="n">
        <f aca="false">MAX(0,IF(N(O235)&lt;=0.005,L236,L236+N('Min gæld'!$E$7)-N236))</f>
        <v>4800</v>
      </c>
      <c r="Q236" s="27" t="n">
        <f aca="false">IF(N(S235)&lt;=0.005,0,N(S235)*(1+N('Min gæld'!$D$8)/12))</f>
        <v>0</v>
      </c>
      <c r="R236" s="27" t="n">
        <f aca="false">IF(Q236&lt;=0,0,MIN(Q236,N('Min gæld'!$E$8)+P236))</f>
        <v>0</v>
      </c>
      <c r="S236" s="27" t="n">
        <f aca="false">IF(Q236-R236&lt;0.005,0,Q236-R236)</f>
        <v>0</v>
      </c>
      <c r="T236" s="27" t="n">
        <f aca="false">MAX(0,IF(N(S235)&lt;=0.005,P236,P236+N('Min gæld'!$E$8)-R236))</f>
        <v>4800</v>
      </c>
      <c r="U236" s="27" t="n">
        <f aca="false">IF(N(W235)&lt;=0.005,0,N(W235)*(1+N('Min gæld'!$D$9)/12))</f>
        <v>0</v>
      </c>
      <c r="V236" s="27" t="n">
        <f aca="false">IF(U236&lt;=0,0,MIN(U236,N('Min gæld'!$E$9)+T236))</f>
        <v>0</v>
      </c>
      <c r="W236" s="27" t="n">
        <f aca="false">IF(U236-V236&lt;0.005,0,U236-V236)</f>
        <v>0</v>
      </c>
      <c r="X236" s="27" t="n">
        <f aca="false">MAX(0,IF(N(W235)&lt;=0.005,T236,T236+N('Min gæld'!$E$9)-V236))</f>
        <v>4800</v>
      </c>
      <c r="Y236" s="27" t="n">
        <f aca="false">IF(N(AA235)&lt;=0.005,0,N(AA235)*(1+N('Min gæld'!$D$10)/12))</f>
        <v>0</v>
      </c>
      <c r="Z236" s="27" t="n">
        <f aca="false">IF(Y236&lt;=0,0,MIN(Y236,N('Min gæld'!$E$10)+X236))</f>
        <v>0</v>
      </c>
      <c r="AA236" s="27" t="n">
        <f aca="false">IF(Y236-Z236&lt;0.005,0,Y236-Z236)</f>
        <v>0</v>
      </c>
      <c r="AB236" s="27" t="n">
        <f aca="false">MAX(0,IF(N(AA235)&lt;=0.005,X236,X236+N('Min gæld'!$E$10)-Z236))</f>
        <v>4800</v>
      </c>
      <c r="AC236" s="27" t="n">
        <f aca="false">IF(N(AE235)&lt;=0.005,0,N(AE235)*(1+N('Min gæld'!$D$11)/12))</f>
        <v>0</v>
      </c>
      <c r="AD236" s="27" t="n">
        <f aca="false">IF(AC236&lt;=0,0,MIN(AC236,N('Min gæld'!$E$11)+AB236))</f>
        <v>0</v>
      </c>
      <c r="AE236" s="27" t="n">
        <f aca="false">IF(AC236-AD236&lt;0.005,0,AC236-AD236)</f>
        <v>0</v>
      </c>
      <c r="AF236" s="27" t="n">
        <f aca="false">MAX(0,IF(N(AE235)&lt;=0.005,AB236,AB236+N('Min gæld'!$E$11)-AD236))</f>
        <v>4800</v>
      </c>
      <c r="AG236" s="27" t="n">
        <f aca="false">IF(N(AI235)&lt;=0.005,0,N(AI235)*(1+N('Min gæld'!$D$12)/12))</f>
        <v>0</v>
      </c>
      <c r="AH236" s="27" t="n">
        <f aca="false">IF(AG236&lt;=0,0,MIN(AG236,N('Min gæld'!$E$12)+AF236))</f>
        <v>0</v>
      </c>
      <c r="AI236" s="27" t="n">
        <f aca="false">IF(AG236-AH236&lt;0.005,0,AG236-AH236)</f>
        <v>0</v>
      </c>
      <c r="AJ236" s="27" t="n">
        <f aca="false">G236+K236+O236+S236+W236+AA236+AE236+AI236</f>
        <v>0</v>
      </c>
      <c r="AK236" s="28" t="n">
        <f aca="false">IF(E236&gt;0,E236-N(G235),0)+IF(I236&gt;0,I236-N(K235),0)+IF(M236&gt;0,M236-N(O235),0)+IF(Q236&gt;0,Q236-N(S235),0)+IF(U236&gt;0,U236-N(W235),0)+IF(Y236&gt;0,Y236-N(AA235),0)+IF(AC236&gt;0,AC236-N(AE235),0)+IF(AG236&gt;0,AG236-N(AI235),0)</f>
        <v>0</v>
      </c>
    </row>
    <row r="237" customFormat="false" ht="15" hidden="false" customHeight="false" outlineLevel="0" collapsed="false">
      <c r="A237" s="25" t="n">
        <v>232</v>
      </c>
      <c r="B237" s="26" t="n">
        <f aca="false">EDATE('Min gæld'!$C$16,231)</f>
        <v>53418</v>
      </c>
      <c r="C237" s="27" t="n">
        <f aca="false">N('Min gæld'!$C$15)+IF(N(G236)&lt;=0.005,N('Min gæld'!$E$5),0)+IF(N(K236)&lt;=0.005,N('Min gæld'!$E$6),0)+IF(N(O236)&lt;=0.005,N('Min gæld'!$E$7),0)+IF(N(S236)&lt;=0.005,N('Min gæld'!$E$8),0)+IF(N(W236)&lt;=0.005,N('Min gæld'!$E$9),0)+IF(N(AA236)&lt;=0.005,N('Min gæld'!$E$10),0)+IF(N(AE236)&lt;=0.005,N('Min gæld'!$E$11),0)+IF(N(AI236)&lt;=0.005,N('Min gæld'!$E$12),0)</f>
        <v>4800</v>
      </c>
      <c r="D237" s="27" t="n">
        <f aca="false">MAX(0,C237)</f>
        <v>4800</v>
      </c>
      <c r="E237" s="27" t="n">
        <f aca="false">IF(N(G236)&lt;=0.005,0,N(G236)*(1+N('Min gæld'!$D$5)/12))</f>
        <v>0</v>
      </c>
      <c r="F237" s="27" t="n">
        <f aca="false">IF(E237&lt;=0,0,MIN(E237,N('Min gæld'!$E$5)+D237))</f>
        <v>0</v>
      </c>
      <c r="G237" s="27" t="n">
        <f aca="false">IF(E237-F237&lt;0.005,0,E237-F237)</f>
        <v>0</v>
      </c>
      <c r="H237" s="27" t="n">
        <f aca="false">MAX(0,IF(N(G236)&lt;=0.005,D237,D237+N('Min gæld'!$E$5)-F237))</f>
        <v>4800</v>
      </c>
      <c r="I237" s="27" t="n">
        <f aca="false">IF(N(K236)&lt;=0.005,0,N(K236)*(1+N('Min gæld'!$D$6)/12))</f>
        <v>0</v>
      </c>
      <c r="J237" s="27" t="n">
        <f aca="false">IF(I237&lt;=0,0,MIN(I237,N('Min gæld'!$E$6)+H237))</f>
        <v>0</v>
      </c>
      <c r="K237" s="27" t="n">
        <f aca="false">IF(I237-J237&lt;0.005,0,I237-J237)</f>
        <v>0</v>
      </c>
      <c r="L237" s="27" t="n">
        <f aca="false">MAX(0,IF(N(K236)&lt;=0.005,H237,H237+N('Min gæld'!$E$6)-J237))</f>
        <v>4800</v>
      </c>
      <c r="M237" s="27" t="n">
        <f aca="false">IF(N(O236)&lt;=0.005,0,N(O236)*(1+N('Min gæld'!$D$7)/12))</f>
        <v>0</v>
      </c>
      <c r="N237" s="27" t="n">
        <f aca="false">IF(M237&lt;=0,0,MIN(M237,N('Min gæld'!$E$7)+L237))</f>
        <v>0</v>
      </c>
      <c r="O237" s="27" t="n">
        <f aca="false">IF(M237-N237&lt;0.005,0,M237-N237)</f>
        <v>0</v>
      </c>
      <c r="P237" s="27" t="n">
        <f aca="false">MAX(0,IF(N(O236)&lt;=0.005,L237,L237+N('Min gæld'!$E$7)-N237))</f>
        <v>4800</v>
      </c>
      <c r="Q237" s="27" t="n">
        <f aca="false">IF(N(S236)&lt;=0.005,0,N(S236)*(1+N('Min gæld'!$D$8)/12))</f>
        <v>0</v>
      </c>
      <c r="R237" s="27" t="n">
        <f aca="false">IF(Q237&lt;=0,0,MIN(Q237,N('Min gæld'!$E$8)+P237))</f>
        <v>0</v>
      </c>
      <c r="S237" s="27" t="n">
        <f aca="false">IF(Q237-R237&lt;0.005,0,Q237-R237)</f>
        <v>0</v>
      </c>
      <c r="T237" s="27" t="n">
        <f aca="false">MAX(0,IF(N(S236)&lt;=0.005,P237,P237+N('Min gæld'!$E$8)-R237))</f>
        <v>4800</v>
      </c>
      <c r="U237" s="27" t="n">
        <f aca="false">IF(N(W236)&lt;=0.005,0,N(W236)*(1+N('Min gæld'!$D$9)/12))</f>
        <v>0</v>
      </c>
      <c r="V237" s="27" t="n">
        <f aca="false">IF(U237&lt;=0,0,MIN(U237,N('Min gæld'!$E$9)+T237))</f>
        <v>0</v>
      </c>
      <c r="W237" s="27" t="n">
        <f aca="false">IF(U237-V237&lt;0.005,0,U237-V237)</f>
        <v>0</v>
      </c>
      <c r="X237" s="27" t="n">
        <f aca="false">MAX(0,IF(N(W236)&lt;=0.005,T237,T237+N('Min gæld'!$E$9)-V237))</f>
        <v>4800</v>
      </c>
      <c r="Y237" s="27" t="n">
        <f aca="false">IF(N(AA236)&lt;=0.005,0,N(AA236)*(1+N('Min gæld'!$D$10)/12))</f>
        <v>0</v>
      </c>
      <c r="Z237" s="27" t="n">
        <f aca="false">IF(Y237&lt;=0,0,MIN(Y237,N('Min gæld'!$E$10)+X237))</f>
        <v>0</v>
      </c>
      <c r="AA237" s="27" t="n">
        <f aca="false">IF(Y237-Z237&lt;0.005,0,Y237-Z237)</f>
        <v>0</v>
      </c>
      <c r="AB237" s="27" t="n">
        <f aca="false">MAX(0,IF(N(AA236)&lt;=0.005,X237,X237+N('Min gæld'!$E$10)-Z237))</f>
        <v>4800</v>
      </c>
      <c r="AC237" s="27" t="n">
        <f aca="false">IF(N(AE236)&lt;=0.005,0,N(AE236)*(1+N('Min gæld'!$D$11)/12))</f>
        <v>0</v>
      </c>
      <c r="AD237" s="27" t="n">
        <f aca="false">IF(AC237&lt;=0,0,MIN(AC237,N('Min gæld'!$E$11)+AB237))</f>
        <v>0</v>
      </c>
      <c r="AE237" s="27" t="n">
        <f aca="false">IF(AC237-AD237&lt;0.005,0,AC237-AD237)</f>
        <v>0</v>
      </c>
      <c r="AF237" s="27" t="n">
        <f aca="false">MAX(0,IF(N(AE236)&lt;=0.005,AB237,AB237+N('Min gæld'!$E$11)-AD237))</f>
        <v>4800</v>
      </c>
      <c r="AG237" s="27" t="n">
        <f aca="false">IF(N(AI236)&lt;=0.005,0,N(AI236)*(1+N('Min gæld'!$D$12)/12))</f>
        <v>0</v>
      </c>
      <c r="AH237" s="27" t="n">
        <f aca="false">IF(AG237&lt;=0,0,MIN(AG237,N('Min gæld'!$E$12)+AF237))</f>
        <v>0</v>
      </c>
      <c r="AI237" s="27" t="n">
        <f aca="false">IF(AG237-AH237&lt;0.005,0,AG237-AH237)</f>
        <v>0</v>
      </c>
      <c r="AJ237" s="27" t="n">
        <f aca="false">G237+K237+O237+S237+W237+AA237+AE237+AI237</f>
        <v>0</v>
      </c>
      <c r="AK237" s="28" t="n">
        <f aca="false">IF(E237&gt;0,E237-N(G236),0)+IF(I237&gt;0,I237-N(K236),0)+IF(M237&gt;0,M237-N(O236),0)+IF(Q237&gt;0,Q237-N(S236),0)+IF(U237&gt;0,U237-N(W236),0)+IF(Y237&gt;0,Y237-N(AA236),0)+IF(AC237&gt;0,AC237-N(AE236),0)+IF(AG237&gt;0,AG237-N(AI236),0)</f>
        <v>0</v>
      </c>
    </row>
    <row r="238" customFormat="false" ht="15" hidden="false" customHeight="false" outlineLevel="0" collapsed="false">
      <c r="A238" s="25" t="n">
        <v>233</v>
      </c>
      <c r="B238" s="26" t="n">
        <f aca="false">EDATE('Min gæld'!$C$16,232)</f>
        <v>53448</v>
      </c>
      <c r="C238" s="27" t="n">
        <f aca="false">N('Min gæld'!$C$15)+IF(N(G237)&lt;=0.005,N('Min gæld'!$E$5),0)+IF(N(K237)&lt;=0.005,N('Min gæld'!$E$6),0)+IF(N(O237)&lt;=0.005,N('Min gæld'!$E$7),0)+IF(N(S237)&lt;=0.005,N('Min gæld'!$E$8),0)+IF(N(W237)&lt;=0.005,N('Min gæld'!$E$9),0)+IF(N(AA237)&lt;=0.005,N('Min gæld'!$E$10),0)+IF(N(AE237)&lt;=0.005,N('Min gæld'!$E$11),0)+IF(N(AI237)&lt;=0.005,N('Min gæld'!$E$12),0)</f>
        <v>4800</v>
      </c>
      <c r="D238" s="27" t="n">
        <f aca="false">MAX(0,C238)</f>
        <v>4800</v>
      </c>
      <c r="E238" s="27" t="n">
        <f aca="false">IF(N(G237)&lt;=0.005,0,N(G237)*(1+N('Min gæld'!$D$5)/12))</f>
        <v>0</v>
      </c>
      <c r="F238" s="27" t="n">
        <f aca="false">IF(E238&lt;=0,0,MIN(E238,N('Min gæld'!$E$5)+D238))</f>
        <v>0</v>
      </c>
      <c r="G238" s="27" t="n">
        <f aca="false">IF(E238-F238&lt;0.005,0,E238-F238)</f>
        <v>0</v>
      </c>
      <c r="H238" s="27" t="n">
        <f aca="false">MAX(0,IF(N(G237)&lt;=0.005,D238,D238+N('Min gæld'!$E$5)-F238))</f>
        <v>4800</v>
      </c>
      <c r="I238" s="27" t="n">
        <f aca="false">IF(N(K237)&lt;=0.005,0,N(K237)*(1+N('Min gæld'!$D$6)/12))</f>
        <v>0</v>
      </c>
      <c r="J238" s="27" t="n">
        <f aca="false">IF(I238&lt;=0,0,MIN(I238,N('Min gæld'!$E$6)+H238))</f>
        <v>0</v>
      </c>
      <c r="K238" s="27" t="n">
        <f aca="false">IF(I238-J238&lt;0.005,0,I238-J238)</f>
        <v>0</v>
      </c>
      <c r="L238" s="27" t="n">
        <f aca="false">MAX(0,IF(N(K237)&lt;=0.005,H238,H238+N('Min gæld'!$E$6)-J238))</f>
        <v>4800</v>
      </c>
      <c r="M238" s="27" t="n">
        <f aca="false">IF(N(O237)&lt;=0.005,0,N(O237)*(1+N('Min gæld'!$D$7)/12))</f>
        <v>0</v>
      </c>
      <c r="N238" s="27" t="n">
        <f aca="false">IF(M238&lt;=0,0,MIN(M238,N('Min gæld'!$E$7)+L238))</f>
        <v>0</v>
      </c>
      <c r="O238" s="27" t="n">
        <f aca="false">IF(M238-N238&lt;0.005,0,M238-N238)</f>
        <v>0</v>
      </c>
      <c r="P238" s="27" t="n">
        <f aca="false">MAX(0,IF(N(O237)&lt;=0.005,L238,L238+N('Min gæld'!$E$7)-N238))</f>
        <v>4800</v>
      </c>
      <c r="Q238" s="27" t="n">
        <f aca="false">IF(N(S237)&lt;=0.005,0,N(S237)*(1+N('Min gæld'!$D$8)/12))</f>
        <v>0</v>
      </c>
      <c r="R238" s="27" t="n">
        <f aca="false">IF(Q238&lt;=0,0,MIN(Q238,N('Min gæld'!$E$8)+P238))</f>
        <v>0</v>
      </c>
      <c r="S238" s="27" t="n">
        <f aca="false">IF(Q238-R238&lt;0.005,0,Q238-R238)</f>
        <v>0</v>
      </c>
      <c r="T238" s="27" t="n">
        <f aca="false">MAX(0,IF(N(S237)&lt;=0.005,P238,P238+N('Min gæld'!$E$8)-R238))</f>
        <v>4800</v>
      </c>
      <c r="U238" s="27" t="n">
        <f aca="false">IF(N(W237)&lt;=0.005,0,N(W237)*(1+N('Min gæld'!$D$9)/12))</f>
        <v>0</v>
      </c>
      <c r="V238" s="27" t="n">
        <f aca="false">IF(U238&lt;=0,0,MIN(U238,N('Min gæld'!$E$9)+T238))</f>
        <v>0</v>
      </c>
      <c r="W238" s="27" t="n">
        <f aca="false">IF(U238-V238&lt;0.005,0,U238-V238)</f>
        <v>0</v>
      </c>
      <c r="X238" s="27" t="n">
        <f aca="false">MAX(0,IF(N(W237)&lt;=0.005,T238,T238+N('Min gæld'!$E$9)-V238))</f>
        <v>4800</v>
      </c>
      <c r="Y238" s="27" t="n">
        <f aca="false">IF(N(AA237)&lt;=0.005,0,N(AA237)*(1+N('Min gæld'!$D$10)/12))</f>
        <v>0</v>
      </c>
      <c r="Z238" s="27" t="n">
        <f aca="false">IF(Y238&lt;=0,0,MIN(Y238,N('Min gæld'!$E$10)+X238))</f>
        <v>0</v>
      </c>
      <c r="AA238" s="27" t="n">
        <f aca="false">IF(Y238-Z238&lt;0.005,0,Y238-Z238)</f>
        <v>0</v>
      </c>
      <c r="AB238" s="27" t="n">
        <f aca="false">MAX(0,IF(N(AA237)&lt;=0.005,X238,X238+N('Min gæld'!$E$10)-Z238))</f>
        <v>4800</v>
      </c>
      <c r="AC238" s="27" t="n">
        <f aca="false">IF(N(AE237)&lt;=0.005,0,N(AE237)*(1+N('Min gæld'!$D$11)/12))</f>
        <v>0</v>
      </c>
      <c r="AD238" s="27" t="n">
        <f aca="false">IF(AC238&lt;=0,0,MIN(AC238,N('Min gæld'!$E$11)+AB238))</f>
        <v>0</v>
      </c>
      <c r="AE238" s="27" t="n">
        <f aca="false">IF(AC238-AD238&lt;0.005,0,AC238-AD238)</f>
        <v>0</v>
      </c>
      <c r="AF238" s="27" t="n">
        <f aca="false">MAX(0,IF(N(AE237)&lt;=0.005,AB238,AB238+N('Min gæld'!$E$11)-AD238))</f>
        <v>4800</v>
      </c>
      <c r="AG238" s="27" t="n">
        <f aca="false">IF(N(AI237)&lt;=0.005,0,N(AI237)*(1+N('Min gæld'!$D$12)/12))</f>
        <v>0</v>
      </c>
      <c r="AH238" s="27" t="n">
        <f aca="false">IF(AG238&lt;=0,0,MIN(AG238,N('Min gæld'!$E$12)+AF238))</f>
        <v>0</v>
      </c>
      <c r="AI238" s="27" t="n">
        <f aca="false">IF(AG238-AH238&lt;0.005,0,AG238-AH238)</f>
        <v>0</v>
      </c>
      <c r="AJ238" s="27" t="n">
        <f aca="false">G238+K238+O238+S238+W238+AA238+AE238+AI238</f>
        <v>0</v>
      </c>
      <c r="AK238" s="28" t="n">
        <f aca="false">IF(E238&gt;0,E238-N(G237),0)+IF(I238&gt;0,I238-N(K237),0)+IF(M238&gt;0,M238-N(O237),0)+IF(Q238&gt;0,Q238-N(S237),0)+IF(U238&gt;0,U238-N(W237),0)+IF(Y238&gt;0,Y238-N(AA237),0)+IF(AC238&gt;0,AC238-N(AE237),0)+IF(AG238&gt;0,AG238-N(AI237),0)</f>
        <v>0</v>
      </c>
    </row>
    <row r="239" customFormat="false" ht="15" hidden="false" customHeight="false" outlineLevel="0" collapsed="false">
      <c r="A239" s="25" t="n">
        <v>234</v>
      </c>
      <c r="B239" s="26" t="n">
        <f aca="false">EDATE('Min gæld'!$C$16,233)</f>
        <v>53479</v>
      </c>
      <c r="C239" s="27" t="n">
        <f aca="false">N('Min gæld'!$C$15)+IF(N(G238)&lt;=0.005,N('Min gæld'!$E$5),0)+IF(N(K238)&lt;=0.005,N('Min gæld'!$E$6),0)+IF(N(O238)&lt;=0.005,N('Min gæld'!$E$7),0)+IF(N(S238)&lt;=0.005,N('Min gæld'!$E$8),0)+IF(N(W238)&lt;=0.005,N('Min gæld'!$E$9),0)+IF(N(AA238)&lt;=0.005,N('Min gæld'!$E$10),0)+IF(N(AE238)&lt;=0.005,N('Min gæld'!$E$11),0)+IF(N(AI238)&lt;=0.005,N('Min gæld'!$E$12),0)</f>
        <v>4800</v>
      </c>
      <c r="D239" s="27" t="n">
        <f aca="false">MAX(0,C239)</f>
        <v>4800</v>
      </c>
      <c r="E239" s="27" t="n">
        <f aca="false">IF(N(G238)&lt;=0.005,0,N(G238)*(1+N('Min gæld'!$D$5)/12))</f>
        <v>0</v>
      </c>
      <c r="F239" s="27" t="n">
        <f aca="false">IF(E239&lt;=0,0,MIN(E239,N('Min gæld'!$E$5)+D239))</f>
        <v>0</v>
      </c>
      <c r="G239" s="27" t="n">
        <f aca="false">IF(E239-F239&lt;0.005,0,E239-F239)</f>
        <v>0</v>
      </c>
      <c r="H239" s="27" t="n">
        <f aca="false">MAX(0,IF(N(G238)&lt;=0.005,D239,D239+N('Min gæld'!$E$5)-F239))</f>
        <v>4800</v>
      </c>
      <c r="I239" s="27" t="n">
        <f aca="false">IF(N(K238)&lt;=0.005,0,N(K238)*(1+N('Min gæld'!$D$6)/12))</f>
        <v>0</v>
      </c>
      <c r="J239" s="27" t="n">
        <f aca="false">IF(I239&lt;=0,0,MIN(I239,N('Min gæld'!$E$6)+H239))</f>
        <v>0</v>
      </c>
      <c r="K239" s="27" t="n">
        <f aca="false">IF(I239-J239&lt;0.005,0,I239-J239)</f>
        <v>0</v>
      </c>
      <c r="L239" s="27" t="n">
        <f aca="false">MAX(0,IF(N(K238)&lt;=0.005,H239,H239+N('Min gæld'!$E$6)-J239))</f>
        <v>4800</v>
      </c>
      <c r="M239" s="27" t="n">
        <f aca="false">IF(N(O238)&lt;=0.005,0,N(O238)*(1+N('Min gæld'!$D$7)/12))</f>
        <v>0</v>
      </c>
      <c r="N239" s="27" t="n">
        <f aca="false">IF(M239&lt;=0,0,MIN(M239,N('Min gæld'!$E$7)+L239))</f>
        <v>0</v>
      </c>
      <c r="O239" s="27" t="n">
        <f aca="false">IF(M239-N239&lt;0.005,0,M239-N239)</f>
        <v>0</v>
      </c>
      <c r="P239" s="27" t="n">
        <f aca="false">MAX(0,IF(N(O238)&lt;=0.005,L239,L239+N('Min gæld'!$E$7)-N239))</f>
        <v>4800</v>
      </c>
      <c r="Q239" s="27" t="n">
        <f aca="false">IF(N(S238)&lt;=0.005,0,N(S238)*(1+N('Min gæld'!$D$8)/12))</f>
        <v>0</v>
      </c>
      <c r="R239" s="27" t="n">
        <f aca="false">IF(Q239&lt;=0,0,MIN(Q239,N('Min gæld'!$E$8)+P239))</f>
        <v>0</v>
      </c>
      <c r="S239" s="27" t="n">
        <f aca="false">IF(Q239-R239&lt;0.005,0,Q239-R239)</f>
        <v>0</v>
      </c>
      <c r="T239" s="27" t="n">
        <f aca="false">MAX(0,IF(N(S238)&lt;=0.005,P239,P239+N('Min gæld'!$E$8)-R239))</f>
        <v>4800</v>
      </c>
      <c r="U239" s="27" t="n">
        <f aca="false">IF(N(W238)&lt;=0.005,0,N(W238)*(1+N('Min gæld'!$D$9)/12))</f>
        <v>0</v>
      </c>
      <c r="V239" s="27" t="n">
        <f aca="false">IF(U239&lt;=0,0,MIN(U239,N('Min gæld'!$E$9)+T239))</f>
        <v>0</v>
      </c>
      <c r="W239" s="27" t="n">
        <f aca="false">IF(U239-V239&lt;0.005,0,U239-V239)</f>
        <v>0</v>
      </c>
      <c r="X239" s="27" t="n">
        <f aca="false">MAX(0,IF(N(W238)&lt;=0.005,T239,T239+N('Min gæld'!$E$9)-V239))</f>
        <v>4800</v>
      </c>
      <c r="Y239" s="27" t="n">
        <f aca="false">IF(N(AA238)&lt;=0.005,0,N(AA238)*(1+N('Min gæld'!$D$10)/12))</f>
        <v>0</v>
      </c>
      <c r="Z239" s="27" t="n">
        <f aca="false">IF(Y239&lt;=0,0,MIN(Y239,N('Min gæld'!$E$10)+X239))</f>
        <v>0</v>
      </c>
      <c r="AA239" s="27" t="n">
        <f aca="false">IF(Y239-Z239&lt;0.005,0,Y239-Z239)</f>
        <v>0</v>
      </c>
      <c r="AB239" s="27" t="n">
        <f aca="false">MAX(0,IF(N(AA238)&lt;=0.005,X239,X239+N('Min gæld'!$E$10)-Z239))</f>
        <v>4800</v>
      </c>
      <c r="AC239" s="27" t="n">
        <f aca="false">IF(N(AE238)&lt;=0.005,0,N(AE238)*(1+N('Min gæld'!$D$11)/12))</f>
        <v>0</v>
      </c>
      <c r="AD239" s="27" t="n">
        <f aca="false">IF(AC239&lt;=0,0,MIN(AC239,N('Min gæld'!$E$11)+AB239))</f>
        <v>0</v>
      </c>
      <c r="AE239" s="27" t="n">
        <f aca="false">IF(AC239-AD239&lt;0.005,0,AC239-AD239)</f>
        <v>0</v>
      </c>
      <c r="AF239" s="27" t="n">
        <f aca="false">MAX(0,IF(N(AE238)&lt;=0.005,AB239,AB239+N('Min gæld'!$E$11)-AD239))</f>
        <v>4800</v>
      </c>
      <c r="AG239" s="27" t="n">
        <f aca="false">IF(N(AI238)&lt;=0.005,0,N(AI238)*(1+N('Min gæld'!$D$12)/12))</f>
        <v>0</v>
      </c>
      <c r="AH239" s="27" t="n">
        <f aca="false">IF(AG239&lt;=0,0,MIN(AG239,N('Min gæld'!$E$12)+AF239))</f>
        <v>0</v>
      </c>
      <c r="AI239" s="27" t="n">
        <f aca="false">IF(AG239-AH239&lt;0.005,0,AG239-AH239)</f>
        <v>0</v>
      </c>
      <c r="AJ239" s="27" t="n">
        <f aca="false">G239+K239+O239+S239+W239+AA239+AE239+AI239</f>
        <v>0</v>
      </c>
      <c r="AK239" s="28" t="n">
        <f aca="false">IF(E239&gt;0,E239-N(G238),0)+IF(I239&gt;0,I239-N(K238),0)+IF(M239&gt;0,M239-N(O238),0)+IF(Q239&gt;0,Q239-N(S238),0)+IF(U239&gt;0,U239-N(W238),0)+IF(Y239&gt;0,Y239-N(AA238),0)+IF(AC239&gt;0,AC239-N(AE238),0)+IF(AG239&gt;0,AG239-N(AI238),0)</f>
        <v>0</v>
      </c>
    </row>
    <row r="240" customFormat="false" ht="15" hidden="false" customHeight="false" outlineLevel="0" collapsed="false">
      <c r="A240" s="25" t="n">
        <v>235</v>
      </c>
      <c r="B240" s="26" t="n">
        <f aca="false">EDATE('Min gæld'!$C$16,234)</f>
        <v>53509</v>
      </c>
      <c r="C240" s="27" t="n">
        <f aca="false">N('Min gæld'!$C$15)+IF(N(G239)&lt;=0.005,N('Min gæld'!$E$5),0)+IF(N(K239)&lt;=0.005,N('Min gæld'!$E$6),0)+IF(N(O239)&lt;=0.005,N('Min gæld'!$E$7),0)+IF(N(S239)&lt;=0.005,N('Min gæld'!$E$8),0)+IF(N(W239)&lt;=0.005,N('Min gæld'!$E$9),0)+IF(N(AA239)&lt;=0.005,N('Min gæld'!$E$10),0)+IF(N(AE239)&lt;=0.005,N('Min gæld'!$E$11),0)+IF(N(AI239)&lt;=0.005,N('Min gæld'!$E$12),0)</f>
        <v>4800</v>
      </c>
      <c r="D240" s="27" t="n">
        <f aca="false">MAX(0,C240)</f>
        <v>4800</v>
      </c>
      <c r="E240" s="27" t="n">
        <f aca="false">IF(N(G239)&lt;=0.005,0,N(G239)*(1+N('Min gæld'!$D$5)/12))</f>
        <v>0</v>
      </c>
      <c r="F240" s="27" t="n">
        <f aca="false">IF(E240&lt;=0,0,MIN(E240,N('Min gæld'!$E$5)+D240))</f>
        <v>0</v>
      </c>
      <c r="G240" s="27" t="n">
        <f aca="false">IF(E240-F240&lt;0.005,0,E240-F240)</f>
        <v>0</v>
      </c>
      <c r="H240" s="27" t="n">
        <f aca="false">MAX(0,IF(N(G239)&lt;=0.005,D240,D240+N('Min gæld'!$E$5)-F240))</f>
        <v>4800</v>
      </c>
      <c r="I240" s="27" t="n">
        <f aca="false">IF(N(K239)&lt;=0.005,0,N(K239)*(1+N('Min gæld'!$D$6)/12))</f>
        <v>0</v>
      </c>
      <c r="J240" s="27" t="n">
        <f aca="false">IF(I240&lt;=0,0,MIN(I240,N('Min gæld'!$E$6)+H240))</f>
        <v>0</v>
      </c>
      <c r="K240" s="27" t="n">
        <f aca="false">IF(I240-J240&lt;0.005,0,I240-J240)</f>
        <v>0</v>
      </c>
      <c r="L240" s="27" t="n">
        <f aca="false">MAX(0,IF(N(K239)&lt;=0.005,H240,H240+N('Min gæld'!$E$6)-J240))</f>
        <v>4800</v>
      </c>
      <c r="M240" s="27" t="n">
        <f aca="false">IF(N(O239)&lt;=0.005,0,N(O239)*(1+N('Min gæld'!$D$7)/12))</f>
        <v>0</v>
      </c>
      <c r="N240" s="27" t="n">
        <f aca="false">IF(M240&lt;=0,0,MIN(M240,N('Min gæld'!$E$7)+L240))</f>
        <v>0</v>
      </c>
      <c r="O240" s="27" t="n">
        <f aca="false">IF(M240-N240&lt;0.005,0,M240-N240)</f>
        <v>0</v>
      </c>
      <c r="P240" s="27" t="n">
        <f aca="false">MAX(0,IF(N(O239)&lt;=0.005,L240,L240+N('Min gæld'!$E$7)-N240))</f>
        <v>4800</v>
      </c>
      <c r="Q240" s="27" t="n">
        <f aca="false">IF(N(S239)&lt;=0.005,0,N(S239)*(1+N('Min gæld'!$D$8)/12))</f>
        <v>0</v>
      </c>
      <c r="R240" s="27" t="n">
        <f aca="false">IF(Q240&lt;=0,0,MIN(Q240,N('Min gæld'!$E$8)+P240))</f>
        <v>0</v>
      </c>
      <c r="S240" s="27" t="n">
        <f aca="false">IF(Q240-R240&lt;0.005,0,Q240-R240)</f>
        <v>0</v>
      </c>
      <c r="T240" s="27" t="n">
        <f aca="false">MAX(0,IF(N(S239)&lt;=0.005,P240,P240+N('Min gæld'!$E$8)-R240))</f>
        <v>4800</v>
      </c>
      <c r="U240" s="27" t="n">
        <f aca="false">IF(N(W239)&lt;=0.005,0,N(W239)*(1+N('Min gæld'!$D$9)/12))</f>
        <v>0</v>
      </c>
      <c r="V240" s="27" t="n">
        <f aca="false">IF(U240&lt;=0,0,MIN(U240,N('Min gæld'!$E$9)+T240))</f>
        <v>0</v>
      </c>
      <c r="W240" s="27" t="n">
        <f aca="false">IF(U240-V240&lt;0.005,0,U240-V240)</f>
        <v>0</v>
      </c>
      <c r="X240" s="27" t="n">
        <f aca="false">MAX(0,IF(N(W239)&lt;=0.005,T240,T240+N('Min gæld'!$E$9)-V240))</f>
        <v>4800</v>
      </c>
      <c r="Y240" s="27" t="n">
        <f aca="false">IF(N(AA239)&lt;=0.005,0,N(AA239)*(1+N('Min gæld'!$D$10)/12))</f>
        <v>0</v>
      </c>
      <c r="Z240" s="27" t="n">
        <f aca="false">IF(Y240&lt;=0,0,MIN(Y240,N('Min gæld'!$E$10)+X240))</f>
        <v>0</v>
      </c>
      <c r="AA240" s="27" t="n">
        <f aca="false">IF(Y240-Z240&lt;0.005,0,Y240-Z240)</f>
        <v>0</v>
      </c>
      <c r="AB240" s="27" t="n">
        <f aca="false">MAX(0,IF(N(AA239)&lt;=0.005,X240,X240+N('Min gæld'!$E$10)-Z240))</f>
        <v>4800</v>
      </c>
      <c r="AC240" s="27" t="n">
        <f aca="false">IF(N(AE239)&lt;=0.005,0,N(AE239)*(1+N('Min gæld'!$D$11)/12))</f>
        <v>0</v>
      </c>
      <c r="AD240" s="27" t="n">
        <f aca="false">IF(AC240&lt;=0,0,MIN(AC240,N('Min gæld'!$E$11)+AB240))</f>
        <v>0</v>
      </c>
      <c r="AE240" s="27" t="n">
        <f aca="false">IF(AC240-AD240&lt;0.005,0,AC240-AD240)</f>
        <v>0</v>
      </c>
      <c r="AF240" s="27" t="n">
        <f aca="false">MAX(0,IF(N(AE239)&lt;=0.005,AB240,AB240+N('Min gæld'!$E$11)-AD240))</f>
        <v>4800</v>
      </c>
      <c r="AG240" s="27" t="n">
        <f aca="false">IF(N(AI239)&lt;=0.005,0,N(AI239)*(1+N('Min gæld'!$D$12)/12))</f>
        <v>0</v>
      </c>
      <c r="AH240" s="27" t="n">
        <f aca="false">IF(AG240&lt;=0,0,MIN(AG240,N('Min gæld'!$E$12)+AF240))</f>
        <v>0</v>
      </c>
      <c r="AI240" s="27" t="n">
        <f aca="false">IF(AG240-AH240&lt;0.005,0,AG240-AH240)</f>
        <v>0</v>
      </c>
      <c r="AJ240" s="27" t="n">
        <f aca="false">G240+K240+O240+S240+W240+AA240+AE240+AI240</f>
        <v>0</v>
      </c>
      <c r="AK240" s="28" t="n">
        <f aca="false">IF(E240&gt;0,E240-N(G239),0)+IF(I240&gt;0,I240-N(K239),0)+IF(M240&gt;0,M240-N(O239),0)+IF(Q240&gt;0,Q240-N(S239),0)+IF(U240&gt;0,U240-N(W239),0)+IF(Y240&gt;0,Y240-N(AA239),0)+IF(AC240&gt;0,AC240-N(AE239),0)+IF(AG240&gt;0,AG240-N(AI239),0)</f>
        <v>0</v>
      </c>
    </row>
    <row r="241" customFormat="false" ht="15" hidden="false" customHeight="false" outlineLevel="0" collapsed="false">
      <c r="A241" s="25" t="n">
        <v>236</v>
      </c>
      <c r="B241" s="26" t="n">
        <f aca="false">EDATE('Min gæld'!$C$16,235)</f>
        <v>53540</v>
      </c>
      <c r="C241" s="27" t="n">
        <f aca="false">N('Min gæld'!$C$15)+IF(N(G240)&lt;=0.005,N('Min gæld'!$E$5),0)+IF(N(K240)&lt;=0.005,N('Min gæld'!$E$6),0)+IF(N(O240)&lt;=0.005,N('Min gæld'!$E$7),0)+IF(N(S240)&lt;=0.005,N('Min gæld'!$E$8),0)+IF(N(W240)&lt;=0.005,N('Min gæld'!$E$9),0)+IF(N(AA240)&lt;=0.005,N('Min gæld'!$E$10),0)+IF(N(AE240)&lt;=0.005,N('Min gæld'!$E$11),0)+IF(N(AI240)&lt;=0.005,N('Min gæld'!$E$12),0)</f>
        <v>4800</v>
      </c>
      <c r="D241" s="27" t="n">
        <f aca="false">MAX(0,C241)</f>
        <v>4800</v>
      </c>
      <c r="E241" s="27" t="n">
        <f aca="false">IF(N(G240)&lt;=0.005,0,N(G240)*(1+N('Min gæld'!$D$5)/12))</f>
        <v>0</v>
      </c>
      <c r="F241" s="27" t="n">
        <f aca="false">IF(E241&lt;=0,0,MIN(E241,N('Min gæld'!$E$5)+D241))</f>
        <v>0</v>
      </c>
      <c r="G241" s="27" t="n">
        <f aca="false">IF(E241-F241&lt;0.005,0,E241-F241)</f>
        <v>0</v>
      </c>
      <c r="H241" s="27" t="n">
        <f aca="false">MAX(0,IF(N(G240)&lt;=0.005,D241,D241+N('Min gæld'!$E$5)-F241))</f>
        <v>4800</v>
      </c>
      <c r="I241" s="27" t="n">
        <f aca="false">IF(N(K240)&lt;=0.005,0,N(K240)*(1+N('Min gæld'!$D$6)/12))</f>
        <v>0</v>
      </c>
      <c r="J241" s="27" t="n">
        <f aca="false">IF(I241&lt;=0,0,MIN(I241,N('Min gæld'!$E$6)+H241))</f>
        <v>0</v>
      </c>
      <c r="K241" s="27" t="n">
        <f aca="false">IF(I241-J241&lt;0.005,0,I241-J241)</f>
        <v>0</v>
      </c>
      <c r="L241" s="27" t="n">
        <f aca="false">MAX(0,IF(N(K240)&lt;=0.005,H241,H241+N('Min gæld'!$E$6)-J241))</f>
        <v>4800</v>
      </c>
      <c r="M241" s="27" t="n">
        <f aca="false">IF(N(O240)&lt;=0.005,0,N(O240)*(1+N('Min gæld'!$D$7)/12))</f>
        <v>0</v>
      </c>
      <c r="N241" s="27" t="n">
        <f aca="false">IF(M241&lt;=0,0,MIN(M241,N('Min gæld'!$E$7)+L241))</f>
        <v>0</v>
      </c>
      <c r="O241" s="27" t="n">
        <f aca="false">IF(M241-N241&lt;0.005,0,M241-N241)</f>
        <v>0</v>
      </c>
      <c r="P241" s="27" t="n">
        <f aca="false">MAX(0,IF(N(O240)&lt;=0.005,L241,L241+N('Min gæld'!$E$7)-N241))</f>
        <v>4800</v>
      </c>
      <c r="Q241" s="27" t="n">
        <f aca="false">IF(N(S240)&lt;=0.005,0,N(S240)*(1+N('Min gæld'!$D$8)/12))</f>
        <v>0</v>
      </c>
      <c r="R241" s="27" t="n">
        <f aca="false">IF(Q241&lt;=0,0,MIN(Q241,N('Min gæld'!$E$8)+P241))</f>
        <v>0</v>
      </c>
      <c r="S241" s="27" t="n">
        <f aca="false">IF(Q241-R241&lt;0.005,0,Q241-R241)</f>
        <v>0</v>
      </c>
      <c r="T241" s="27" t="n">
        <f aca="false">MAX(0,IF(N(S240)&lt;=0.005,P241,P241+N('Min gæld'!$E$8)-R241))</f>
        <v>4800</v>
      </c>
      <c r="U241" s="27" t="n">
        <f aca="false">IF(N(W240)&lt;=0.005,0,N(W240)*(1+N('Min gæld'!$D$9)/12))</f>
        <v>0</v>
      </c>
      <c r="V241" s="27" t="n">
        <f aca="false">IF(U241&lt;=0,0,MIN(U241,N('Min gæld'!$E$9)+T241))</f>
        <v>0</v>
      </c>
      <c r="W241" s="27" t="n">
        <f aca="false">IF(U241-V241&lt;0.005,0,U241-V241)</f>
        <v>0</v>
      </c>
      <c r="X241" s="27" t="n">
        <f aca="false">MAX(0,IF(N(W240)&lt;=0.005,T241,T241+N('Min gæld'!$E$9)-V241))</f>
        <v>4800</v>
      </c>
      <c r="Y241" s="27" t="n">
        <f aca="false">IF(N(AA240)&lt;=0.005,0,N(AA240)*(1+N('Min gæld'!$D$10)/12))</f>
        <v>0</v>
      </c>
      <c r="Z241" s="27" t="n">
        <f aca="false">IF(Y241&lt;=0,0,MIN(Y241,N('Min gæld'!$E$10)+X241))</f>
        <v>0</v>
      </c>
      <c r="AA241" s="27" t="n">
        <f aca="false">IF(Y241-Z241&lt;0.005,0,Y241-Z241)</f>
        <v>0</v>
      </c>
      <c r="AB241" s="27" t="n">
        <f aca="false">MAX(0,IF(N(AA240)&lt;=0.005,X241,X241+N('Min gæld'!$E$10)-Z241))</f>
        <v>4800</v>
      </c>
      <c r="AC241" s="27" t="n">
        <f aca="false">IF(N(AE240)&lt;=0.005,0,N(AE240)*(1+N('Min gæld'!$D$11)/12))</f>
        <v>0</v>
      </c>
      <c r="AD241" s="27" t="n">
        <f aca="false">IF(AC241&lt;=0,0,MIN(AC241,N('Min gæld'!$E$11)+AB241))</f>
        <v>0</v>
      </c>
      <c r="AE241" s="27" t="n">
        <f aca="false">IF(AC241-AD241&lt;0.005,0,AC241-AD241)</f>
        <v>0</v>
      </c>
      <c r="AF241" s="27" t="n">
        <f aca="false">MAX(0,IF(N(AE240)&lt;=0.005,AB241,AB241+N('Min gæld'!$E$11)-AD241))</f>
        <v>4800</v>
      </c>
      <c r="AG241" s="27" t="n">
        <f aca="false">IF(N(AI240)&lt;=0.005,0,N(AI240)*(1+N('Min gæld'!$D$12)/12))</f>
        <v>0</v>
      </c>
      <c r="AH241" s="27" t="n">
        <f aca="false">IF(AG241&lt;=0,0,MIN(AG241,N('Min gæld'!$E$12)+AF241))</f>
        <v>0</v>
      </c>
      <c r="AI241" s="27" t="n">
        <f aca="false">IF(AG241-AH241&lt;0.005,0,AG241-AH241)</f>
        <v>0</v>
      </c>
      <c r="AJ241" s="27" t="n">
        <f aca="false">G241+K241+O241+S241+W241+AA241+AE241+AI241</f>
        <v>0</v>
      </c>
      <c r="AK241" s="28" t="n">
        <f aca="false">IF(E241&gt;0,E241-N(G240),0)+IF(I241&gt;0,I241-N(K240),0)+IF(M241&gt;0,M241-N(O240),0)+IF(Q241&gt;0,Q241-N(S240),0)+IF(U241&gt;0,U241-N(W240),0)+IF(Y241&gt;0,Y241-N(AA240),0)+IF(AC241&gt;0,AC241-N(AE240),0)+IF(AG241&gt;0,AG241-N(AI240),0)</f>
        <v>0</v>
      </c>
    </row>
    <row r="242" customFormat="false" ht="15" hidden="false" customHeight="false" outlineLevel="0" collapsed="false">
      <c r="A242" s="25" t="n">
        <v>237</v>
      </c>
      <c r="B242" s="26" t="n">
        <f aca="false">EDATE('Min gæld'!$C$16,236)</f>
        <v>53571</v>
      </c>
      <c r="C242" s="27" t="n">
        <f aca="false">N('Min gæld'!$C$15)+IF(N(G241)&lt;=0.005,N('Min gæld'!$E$5),0)+IF(N(K241)&lt;=0.005,N('Min gæld'!$E$6),0)+IF(N(O241)&lt;=0.005,N('Min gæld'!$E$7),0)+IF(N(S241)&lt;=0.005,N('Min gæld'!$E$8),0)+IF(N(W241)&lt;=0.005,N('Min gæld'!$E$9),0)+IF(N(AA241)&lt;=0.005,N('Min gæld'!$E$10),0)+IF(N(AE241)&lt;=0.005,N('Min gæld'!$E$11),0)+IF(N(AI241)&lt;=0.005,N('Min gæld'!$E$12),0)</f>
        <v>4800</v>
      </c>
      <c r="D242" s="27" t="n">
        <f aca="false">MAX(0,C242)</f>
        <v>4800</v>
      </c>
      <c r="E242" s="27" t="n">
        <f aca="false">IF(N(G241)&lt;=0.005,0,N(G241)*(1+N('Min gæld'!$D$5)/12))</f>
        <v>0</v>
      </c>
      <c r="F242" s="27" t="n">
        <f aca="false">IF(E242&lt;=0,0,MIN(E242,N('Min gæld'!$E$5)+D242))</f>
        <v>0</v>
      </c>
      <c r="G242" s="27" t="n">
        <f aca="false">IF(E242-F242&lt;0.005,0,E242-F242)</f>
        <v>0</v>
      </c>
      <c r="H242" s="27" t="n">
        <f aca="false">MAX(0,IF(N(G241)&lt;=0.005,D242,D242+N('Min gæld'!$E$5)-F242))</f>
        <v>4800</v>
      </c>
      <c r="I242" s="27" t="n">
        <f aca="false">IF(N(K241)&lt;=0.005,0,N(K241)*(1+N('Min gæld'!$D$6)/12))</f>
        <v>0</v>
      </c>
      <c r="J242" s="27" t="n">
        <f aca="false">IF(I242&lt;=0,0,MIN(I242,N('Min gæld'!$E$6)+H242))</f>
        <v>0</v>
      </c>
      <c r="K242" s="27" t="n">
        <f aca="false">IF(I242-J242&lt;0.005,0,I242-J242)</f>
        <v>0</v>
      </c>
      <c r="L242" s="27" t="n">
        <f aca="false">MAX(0,IF(N(K241)&lt;=0.005,H242,H242+N('Min gæld'!$E$6)-J242))</f>
        <v>4800</v>
      </c>
      <c r="M242" s="27" t="n">
        <f aca="false">IF(N(O241)&lt;=0.005,0,N(O241)*(1+N('Min gæld'!$D$7)/12))</f>
        <v>0</v>
      </c>
      <c r="N242" s="27" t="n">
        <f aca="false">IF(M242&lt;=0,0,MIN(M242,N('Min gæld'!$E$7)+L242))</f>
        <v>0</v>
      </c>
      <c r="O242" s="27" t="n">
        <f aca="false">IF(M242-N242&lt;0.005,0,M242-N242)</f>
        <v>0</v>
      </c>
      <c r="P242" s="27" t="n">
        <f aca="false">MAX(0,IF(N(O241)&lt;=0.005,L242,L242+N('Min gæld'!$E$7)-N242))</f>
        <v>4800</v>
      </c>
      <c r="Q242" s="27" t="n">
        <f aca="false">IF(N(S241)&lt;=0.005,0,N(S241)*(1+N('Min gæld'!$D$8)/12))</f>
        <v>0</v>
      </c>
      <c r="R242" s="27" t="n">
        <f aca="false">IF(Q242&lt;=0,0,MIN(Q242,N('Min gæld'!$E$8)+P242))</f>
        <v>0</v>
      </c>
      <c r="S242" s="27" t="n">
        <f aca="false">IF(Q242-R242&lt;0.005,0,Q242-R242)</f>
        <v>0</v>
      </c>
      <c r="T242" s="27" t="n">
        <f aca="false">MAX(0,IF(N(S241)&lt;=0.005,P242,P242+N('Min gæld'!$E$8)-R242))</f>
        <v>4800</v>
      </c>
      <c r="U242" s="27" t="n">
        <f aca="false">IF(N(W241)&lt;=0.005,0,N(W241)*(1+N('Min gæld'!$D$9)/12))</f>
        <v>0</v>
      </c>
      <c r="V242" s="27" t="n">
        <f aca="false">IF(U242&lt;=0,0,MIN(U242,N('Min gæld'!$E$9)+T242))</f>
        <v>0</v>
      </c>
      <c r="W242" s="27" t="n">
        <f aca="false">IF(U242-V242&lt;0.005,0,U242-V242)</f>
        <v>0</v>
      </c>
      <c r="X242" s="27" t="n">
        <f aca="false">MAX(0,IF(N(W241)&lt;=0.005,T242,T242+N('Min gæld'!$E$9)-V242))</f>
        <v>4800</v>
      </c>
      <c r="Y242" s="27" t="n">
        <f aca="false">IF(N(AA241)&lt;=0.005,0,N(AA241)*(1+N('Min gæld'!$D$10)/12))</f>
        <v>0</v>
      </c>
      <c r="Z242" s="27" t="n">
        <f aca="false">IF(Y242&lt;=0,0,MIN(Y242,N('Min gæld'!$E$10)+X242))</f>
        <v>0</v>
      </c>
      <c r="AA242" s="27" t="n">
        <f aca="false">IF(Y242-Z242&lt;0.005,0,Y242-Z242)</f>
        <v>0</v>
      </c>
      <c r="AB242" s="27" t="n">
        <f aca="false">MAX(0,IF(N(AA241)&lt;=0.005,X242,X242+N('Min gæld'!$E$10)-Z242))</f>
        <v>4800</v>
      </c>
      <c r="AC242" s="27" t="n">
        <f aca="false">IF(N(AE241)&lt;=0.005,0,N(AE241)*(1+N('Min gæld'!$D$11)/12))</f>
        <v>0</v>
      </c>
      <c r="AD242" s="27" t="n">
        <f aca="false">IF(AC242&lt;=0,0,MIN(AC242,N('Min gæld'!$E$11)+AB242))</f>
        <v>0</v>
      </c>
      <c r="AE242" s="27" t="n">
        <f aca="false">IF(AC242-AD242&lt;0.005,0,AC242-AD242)</f>
        <v>0</v>
      </c>
      <c r="AF242" s="27" t="n">
        <f aca="false">MAX(0,IF(N(AE241)&lt;=0.005,AB242,AB242+N('Min gæld'!$E$11)-AD242))</f>
        <v>4800</v>
      </c>
      <c r="AG242" s="27" t="n">
        <f aca="false">IF(N(AI241)&lt;=0.005,0,N(AI241)*(1+N('Min gæld'!$D$12)/12))</f>
        <v>0</v>
      </c>
      <c r="AH242" s="27" t="n">
        <f aca="false">IF(AG242&lt;=0,0,MIN(AG242,N('Min gæld'!$E$12)+AF242))</f>
        <v>0</v>
      </c>
      <c r="AI242" s="27" t="n">
        <f aca="false">IF(AG242-AH242&lt;0.005,0,AG242-AH242)</f>
        <v>0</v>
      </c>
      <c r="AJ242" s="27" t="n">
        <f aca="false">G242+K242+O242+S242+W242+AA242+AE242+AI242</f>
        <v>0</v>
      </c>
      <c r="AK242" s="28" t="n">
        <f aca="false">IF(E242&gt;0,E242-N(G241),0)+IF(I242&gt;0,I242-N(K241),0)+IF(M242&gt;0,M242-N(O241),0)+IF(Q242&gt;0,Q242-N(S241),0)+IF(U242&gt;0,U242-N(W241),0)+IF(Y242&gt;0,Y242-N(AA241),0)+IF(AC242&gt;0,AC242-N(AE241),0)+IF(AG242&gt;0,AG242-N(AI241),0)</f>
        <v>0</v>
      </c>
    </row>
    <row r="243" customFormat="false" ht="15" hidden="false" customHeight="false" outlineLevel="0" collapsed="false">
      <c r="A243" s="25" t="n">
        <v>238</v>
      </c>
      <c r="B243" s="26" t="n">
        <f aca="false">EDATE('Min gæld'!$C$16,237)</f>
        <v>53601</v>
      </c>
      <c r="C243" s="27" t="n">
        <f aca="false">N('Min gæld'!$C$15)+IF(N(G242)&lt;=0.005,N('Min gæld'!$E$5),0)+IF(N(K242)&lt;=0.005,N('Min gæld'!$E$6),0)+IF(N(O242)&lt;=0.005,N('Min gæld'!$E$7),0)+IF(N(S242)&lt;=0.005,N('Min gæld'!$E$8),0)+IF(N(W242)&lt;=0.005,N('Min gæld'!$E$9),0)+IF(N(AA242)&lt;=0.005,N('Min gæld'!$E$10),0)+IF(N(AE242)&lt;=0.005,N('Min gæld'!$E$11),0)+IF(N(AI242)&lt;=0.005,N('Min gæld'!$E$12),0)</f>
        <v>4800</v>
      </c>
      <c r="D243" s="27" t="n">
        <f aca="false">MAX(0,C243)</f>
        <v>4800</v>
      </c>
      <c r="E243" s="27" t="n">
        <f aca="false">IF(N(G242)&lt;=0.005,0,N(G242)*(1+N('Min gæld'!$D$5)/12))</f>
        <v>0</v>
      </c>
      <c r="F243" s="27" t="n">
        <f aca="false">IF(E243&lt;=0,0,MIN(E243,N('Min gæld'!$E$5)+D243))</f>
        <v>0</v>
      </c>
      <c r="G243" s="27" t="n">
        <f aca="false">IF(E243-F243&lt;0.005,0,E243-F243)</f>
        <v>0</v>
      </c>
      <c r="H243" s="27" t="n">
        <f aca="false">MAX(0,IF(N(G242)&lt;=0.005,D243,D243+N('Min gæld'!$E$5)-F243))</f>
        <v>4800</v>
      </c>
      <c r="I243" s="27" t="n">
        <f aca="false">IF(N(K242)&lt;=0.005,0,N(K242)*(1+N('Min gæld'!$D$6)/12))</f>
        <v>0</v>
      </c>
      <c r="J243" s="27" t="n">
        <f aca="false">IF(I243&lt;=0,0,MIN(I243,N('Min gæld'!$E$6)+H243))</f>
        <v>0</v>
      </c>
      <c r="K243" s="27" t="n">
        <f aca="false">IF(I243-J243&lt;0.005,0,I243-J243)</f>
        <v>0</v>
      </c>
      <c r="L243" s="27" t="n">
        <f aca="false">MAX(0,IF(N(K242)&lt;=0.005,H243,H243+N('Min gæld'!$E$6)-J243))</f>
        <v>4800</v>
      </c>
      <c r="M243" s="27" t="n">
        <f aca="false">IF(N(O242)&lt;=0.005,0,N(O242)*(1+N('Min gæld'!$D$7)/12))</f>
        <v>0</v>
      </c>
      <c r="N243" s="27" t="n">
        <f aca="false">IF(M243&lt;=0,0,MIN(M243,N('Min gæld'!$E$7)+L243))</f>
        <v>0</v>
      </c>
      <c r="O243" s="27" t="n">
        <f aca="false">IF(M243-N243&lt;0.005,0,M243-N243)</f>
        <v>0</v>
      </c>
      <c r="P243" s="27" t="n">
        <f aca="false">MAX(0,IF(N(O242)&lt;=0.005,L243,L243+N('Min gæld'!$E$7)-N243))</f>
        <v>4800</v>
      </c>
      <c r="Q243" s="27" t="n">
        <f aca="false">IF(N(S242)&lt;=0.005,0,N(S242)*(1+N('Min gæld'!$D$8)/12))</f>
        <v>0</v>
      </c>
      <c r="R243" s="27" t="n">
        <f aca="false">IF(Q243&lt;=0,0,MIN(Q243,N('Min gæld'!$E$8)+P243))</f>
        <v>0</v>
      </c>
      <c r="S243" s="27" t="n">
        <f aca="false">IF(Q243-R243&lt;0.005,0,Q243-R243)</f>
        <v>0</v>
      </c>
      <c r="T243" s="27" t="n">
        <f aca="false">MAX(0,IF(N(S242)&lt;=0.005,P243,P243+N('Min gæld'!$E$8)-R243))</f>
        <v>4800</v>
      </c>
      <c r="U243" s="27" t="n">
        <f aca="false">IF(N(W242)&lt;=0.005,0,N(W242)*(1+N('Min gæld'!$D$9)/12))</f>
        <v>0</v>
      </c>
      <c r="V243" s="27" t="n">
        <f aca="false">IF(U243&lt;=0,0,MIN(U243,N('Min gæld'!$E$9)+T243))</f>
        <v>0</v>
      </c>
      <c r="W243" s="27" t="n">
        <f aca="false">IF(U243-V243&lt;0.005,0,U243-V243)</f>
        <v>0</v>
      </c>
      <c r="X243" s="27" t="n">
        <f aca="false">MAX(0,IF(N(W242)&lt;=0.005,T243,T243+N('Min gæld'!$E$9)-V243))</f>
        <v>4800</v>
      </c>
      <c r="Y243" s="27" t="n">
        <f aca="false">IF(N(AA242)&lt;=0.005,0,N(AA242)*(1+N('Min gæld'!$D$10)/12))</f>
        <v>0</v>
      </c>
      <c r="Z243" s="27" t="n">
        <f aca="false">IF(Y243&lt;=0,0,MIN(Y243,N('Min gæld'!$E$10)+X243))</f>
        <v>0</v>
      </c>
      <c r="AA243" s="27" t="n">
        <f aca="false">IF(Y243-Z243&lt;0.005,0,Y243-Z243)</f>
        <v>0</v>
      </c>
      <c r="AB243" s="27" t="n">
        <f aca="false">MAX(0,IF(N(AA242)&lt;=0.005,X243,X243+N('Min gæld'!$E$10)-Z243))</f>
        <v>4800</v>
      </c>
      <c r="AC243" s="27" t="n">
        <f aca="false">IF(N(AE242)&lt;=0.005,0,N(AE242)*(1+N('Min gæld'!$D$11)/12))</f>
        <v>0</v>
      </c>
      <c r="AD243" s="27" t="n">
        <f aca="false">IF(AC243&lt;=0,0,MIN(AC243,N('Min gæld'!$E$11)+AB243))</f>
        <v>0</v>
      </c>
      <c r="AE243" s="27" t="n">
        <f aca="false">IF(AC243-AD243&lt;0.005,0,AC243-AD243)</f>
        <v>0</v>
      </c>
      <c r="AF243" s="27" t="n">
        <f aca="false">MAX(0,IF(N(AE242)&lt;=0.005,AB243,AB243+N('Min gæld'!$E$11)-AD243))</f>
        <v>4800</v>
      </c>
      <c r="AG243" s="27" t="n">
        <f aca="false">IF(N(AI242)&lt;=0.005,0,N(AI242)*(1+N('Min gæld'!$D$12)/12))</f>
        <v>0</v>
      </c>
      <c r="AH243" s="27" t="n">
        <f aca="false">IF(AG243&lt;=0,0,MIN(AG243,N('Min gæld'!$E$12)+AF243))</f>
        <v>0</v>
      </c>
      <c r="AI243" s="27" t="n">
        <f aca="false">IF(AG243-AH243&lt;0.005,0,AG243-AH243)</f>
        <v>0</v>
      </c>
      <c r="AJ243" s="27" t="n">
        <f aca="false">G243+K243+O243+S243+W243+AA243+AE243+AI243</f>
        <v>0</v>
      </c>
      <c r="AK243" s="28" t="n">
        <f aca="false">IF(E243&gt;0,E243-N(G242),0)+IF(I243&gt;0,I243-N(K242),0)+IF(M243&gt;0,M243-N(O242),0)+IF(Q243&gt;0,Q243-N(S242),0)+IF(U243&gt;0,U243-N(W242),0)+IF(Y243&gt;0,Y243-N(AA242),0)+IF(AC243&gt;0,AC243-N(AE242),0)+IF(AG243&gt;0,AG243-N(AI242),0)</f>
        <v>0</v>
      </c>
    </row>
    <row r="244" customFormat="false" ht="15" hidden="false" customHeight="false" outlineLevel="0" collapsed="false">
      <c r="A244" s="25" t="n">
        <v>239</v>
      </c>
      <c r="B244" s="26" t="n">
        <f aca="false">EDATE('Min gæld'!$C$16,238)</f>
        <v>53632</v>
      </c>
      <c r="C244" s="27" t="n">
        <f aca="false">N('Min gæld'!$C$15)+IF(N(G243)&lt;=0.005,N('Min gæld'!$E$5),0)+IF(N(K243)&lt;=0.005,N('Min gæld'!$E$6),0)+IF(N(O243)&lt;=0.005,N('Min gæld'!$E$7),0)+IF(N(S243)&lt;=0.005,N('Min gæld'!$E$8),0)+IF(N(W243)&lt;=0.005,N('Min gæld'!$E$9),0)+IF(N(AA243)&lt;=0.005,N('Min gæld'!$E$10),0)+IF(N(AE243)&lt;=0.005,N('Min gæld'!$E$11),0)+IF(N(AI243)&lt;=0.005,N('Min gæld'!$E$12),0)</f>
        <v>4800</v>
      </c>
      <c r="D244" s="27" t="n">
        <f aca="false">MAX(0,C244)</f>
        <v>4800</v>
      </c>
      <c r="E244" s="27" t="n">
        <f aca="false">IF(N(G243)&lt;=0.005,0,N(G243)*(1+N('Min gæld'!$D$5)/12))</f>
        <v>0</v>
      </c>
      <c r="F244" s="27" t="n">
        <f aca="false">IF(E244&lt;=0,0,MIN(E244,N('Min gæld'!$E$5)+D244))</f>
        <v>0</v>
      </c>
      <c r="G244" s="27" t="n">
        <f aca="false">IF(E244-F244&lt;0.005,0,E244-F244)</f>
        <v>0</v>
      </c>
      <c r="H244" s="27" t="n">
        <f aca="false">MAX(0,IF(N(G243)&lt;=0.005,D244,D244+N('Min gæld'!$E$5)-F244))</f>
        <v>4800</v>
      </c>
      <c r="I244" s="27" t="n">
        <f aca="false">IF(N(K243)&lt;=0.005,0,N(K243)*(1+N('Min gæld'!$D$6)/12))</f>
        <v>0</v>
      </c>
      <c r="J244" s="27" t="n">
        <f aca="false">IF(I244&lt;=0,0,MIN(I244,N('Min gæld'!$E$6)+H244))</f>
        <v>0</v>
      </c>
      <c r="K244" s="27" t="n">
        <f aca="false">IF(I244-J244&lt;0.005,0,I244-J244)</f>
        <v>0</v>
      </c>
      <c r="L244" s="27" t="n">
        <f aca="false">MAX(0,IF(N(K243)&lt;=0.005,H244,H244+N('Min gæld'!$E$6)-J244))</f>
        <v>4800</v>
      </c>
      <c r="M244" s="27" t="n">
        <f aca="false">IF(N(O243)&lt;=0.005,0,N(O243)*(1+N('Min gæld'!$D$7)/12))</f>
        <v>0</v>
      </c>
      <c r="N244" s="27" t="n">
        <f aca="false">IF(M244&lt;=0,0,MIN(M244,N('Min gæld'!$E$7)+L244))</f>
        <v>0</v>
      </c>
      <c r="O244" s="27" t="n">
        <f aca="false">IF(M244-N244&lt;0.005,0,M244-N244)</f>
        <v>0</v>
      </c>
      <c r="P244" s="27" t="n">
        <f aca="false">MAX(0,IF(N(O243)&lt;=0.005,L244,L244+N('Min gæld'!$E$7)-N244))</f>
        <v>4800</v>
      </c>
      <c r="Q244" s="27" t="n">
        <f aca="false">IF(N(S243)&lt;=0.005,0,N(S243)*(1+N('Min gæld'!$D$8)/12))</f>
        <v>0</v>
      </c>
      <c r="R244" s="27" t="n">
        <f aca="false">IF(Q244&lt;=0,0,MIN(Q244,N('Min gæld'!$E$8)+P244))</f>
        <v>0</v>
      </c>
      <c r="S244" s="27" t="n">
        <f aca="false">IF(Q244-R244&lt;0.005,0,Q244-R244)</f>
        <v>0</v>
      </c>
      <c r="T244" s="27" t="n">
        <f aca="false">MAX(0,IF(N(S243)&lt;=0.005,P244,P244+N('Min gæld'!$E$8)-R244))</f>
        <v>4800</v>
      </c>
      <c r="U244" s="27" t="n">
        <f aca="false">IF(N(W243)&lt;=0.005,0,N(W243)*(1+N('Min gæld'!$D$9)/12))</f>
        <v>0</v>
      </c>
      <c r="V244" s="27" t="n">
        <f aca="false">IF(U244&lt;=0,0,MIN(U244,N('Min gæld'!$E$9)+T244))</f>
        <v>0</v>
      </c>
      <c r="W244" s="27" t="n">
        <f aca="false">IF(U244-V244&lt;0.005,0,U244-V244)</f>
        <v>0</v>
      </c>
      <c r="X244" s="27" t="n">
        <f aca="false">MAX(0,IF(N(W243)&lt;=0.005,T244,T244+N('Min gæld'!$E$9)-V244))</f>
        <v>4800</v>
      </c>
      <c r="Y244" s="27" t="n">
        <f aca="false">IF(N(AA243)&lt;=0.005,0,N(AA243)*(1+N('Min gæld'!$D$10)/12))</f>
        <v>0</v>
      </c>
      <c r="Z244" s="27" t="n">
        <f aca="false">IF(Y244&lt;=0,0,MIN(Y244,N('Min gæld'!$E$10)+X244))</f>
        <v>0</v>
      </c>
      <c r="AA244" s="27" t="n">
        <f aca="false">IF(Y244-Z244&lt;0.005,0,Y244-Z244)</f>
        <v>0</v>
      </c>
      <c r="AB244" s="27" t="n">
        <f aca="false">MAX(0,IF(N(AA243)&lt;=0.005,X244,X244+N('Min gæld'!$E$10)-Z244))</f>
        <v>4800</v>
      </c>
      <c r="AC244" s="27" t="n">
        <f aca="false">IF(N(AE243)&lt;=0.005,0,N(AE243)*(1+N('Min gæld'!$D$11)/12))</f>
        <v>0</v>
      </c>
      <c r="AD244" s="27" t="n">
        <f aca="false">IF(AC244&lt;=0,0,MIN(AC244,N('Min gæld'!$E$11)+AB244))</f>
        <v>0</v>
      </c>
      <c r="AE244" s="27" t="n">
        <f aca="false">IF(AC244-AD244&lt;0.005,0,AC244-AD244)</f>
        <v>0</v>
      </c>
      <c r="AF244" s="27" t="n">
        <f aca="false">MAX(0,IF(N(AE243)&lt;=0.005,AB244,AB244+N('Min gæld'!$E$11)-AD244))</f>
        <v>4800</v>
      </c>
      <c r="AG244" s="27" t="n">
        <f aca="false">IF(N(AI243)&lt;=0.005,0,N(AI243)*(1+N('Min gæld'!$D$12)/12))</f>
        <v>0</v>
      </c>
      <c r="AH244" s="27" t="n">
        <f aca="false">IF(AG244&lt;=0,0,MIN(AG244,N('Min gæld'!$E$12)+AF244))</f>
        <v>0</v>
      </c>
      <c r="AI244" s="27" t="n">
        <f aca="false">IF(AG244-AH244&lt;0.005,0,AG244-AH244)</f>
        <v>0</v>
      </c>
      <c r="AJ244" s="27" t="n">
        <f aca="false">G244+K244+O244+S244+W244+AA244+AE244+AI244</f>
        <v>0</v>
      </c>
      <c r="AK244" s="28" t="n">
        <f aca="false">IF(E244&gt;0,E244-N(G243),0)+IF(I244&gt;0,I244-N(K243),0)+IF(M244&gt;0,M244-N(O243),0)+IF(Q244&gt;0,Q244-N(S243),0)+IF(U244&gt;0,U244-N(W243),0)+IF(Y244&gt;0,Y244-N(AA243),0)+IF(AC244&gt;0,AC244-N(AE243),0)+IF(AG244&gt;0,AG244-N(AI243),0)</f>
        <v>0</v>
      </c>
    </row>
    <row r="245" customFormat="false" ht="15" hidden="false" customHeight="false" outlineLevel="0" collapsed="false">
      <c r="A245" s="25" t="n">
        <v>240</v>
      </c>
      <c r="B245" s="26" t="n">
        <f aca="false">EDATE('Min gæld'!$C$16,239)</f>
        <v>53662</v>
      </c>
      <c r="C245" s="27" t="n">
        <f aca="false">N('Min gæld'!$C$15)+IF(N(G244)&lt;=0.005,N('Min gæld'!$E$5),0)+IF(N(K244)&lt;=0.005,N('Min gæld'!$E$6),0)+IF(N(O244)&lt;=0.005,N('Min gæld'!$E$7),0)+IF(N(S244)&lt;=0.005,N('Min gæld'!$E$8),0)+IF(N(W244)&lt;=0.005,N('Min gæld'!$E$9),0)+IF(N(AA244)&lt;=0.005,N('Min gæld'!$E$10),0)+IF(N(AE244)&lt;=0.005,N('Min gæld'!$E$11),0)+IF(N(AI244)&lt;=0.005,N('Min gæld'!$E$12),0)</f>
        <v>4800</v>
      </c>
      <c r="D245" s="27" t="n">
        <f aca="false">MAX(0,C245)</f>
        <v>4800</v>
      </c>
      <c r="E245" s="27" t="n">
        <f aca="false">IF(N(G244)&lt;=0.005,0,N(G244)*(1+N('Min gæld'!$D$5)/12))</f>
        <v>0</v>
      </c>
      <c r="F245" s="27" t="n">
        <f aca="false">IF(E245&lt;=0,0,MIN(E245,N('Min gæld'!$E$5)+D245))</f>
        <v>0</v>
      </c>
      <c r="G245" s="27" t="n">
        <f aca="false">IF(E245-F245&lt;0.005,0,E245-F245)</f>
        <v>0</v>
      </c>
      <c r="H245" s="27" t="n">
        <f aca="false">MAX(0,IF(N(G244)&lt;=0.005,D245,D245+N('Min gæld'!$E$5)-F245))</f>
        <v>4800</v>
      </c>
      <c r="I245" s="27" t="n">
        <f aca="false">IF(N(K244)&lt;=0.005,0,N(K244)*(1+N('Min gæld'!$D$6)/12))</f>
        <v>0</v>
      </c>
      <c r="J245" s="27" t="n">
        <f aca="false">IF(I245&lt;=0,0,MIN(I245,N('Min gæld'!$E$6)+H245))</f>
        <v>0</v>
      </c>
      <c r="K245" s="27" t="n">
        <f aca="false">IF(I245-J245&lt;0.005,0,I245-J245)</f>
        <v>0</v>
      </c>
      <c r="L245" s="27" t="n">
        <f aca="false">MAX(0,IF(N(K244)&lt;=0.005,H245,H245+N('Min gæld'!$E$6)-J245))</f>
        <v>4800</v>
      </c>
      <c r="M245" s="27" t="n">
        <f aca="false">IF(N(O244)&lt;=0.005,0,N(O244)*(1+N('Min gæld'!$D$7)/12))</f>
        <v>0</v>
      </c>
      <c r="N245" s="27" t="n">
        <f aca="false">IF(M245&lt;=0,0,MIN(M245,N('Min gæld'!$E$7)+L245))</f>
        <v>0</v>
      </c>
      <c r="O245" s="27" t="n">
        <f aca="false">IF(M245-N245&lt;0.005,0,M245-N245)</f>
        <v>0</v>
      </c>
      <c r="P245" s="27" t="n">
        <f aca="false">MAX(0,IF(N(O244)&lt;=0.005,L245,L245+N('Min gæld'!$E$7)-N245))</f>
        <v>4800</v>
      </c>
      <c r="Q245" s="27" t="n">
        <f aca="false">IF(N(S244)&lt;=0.005,0,N(S244)*(1+N('Min gæld'!$D$8)/12))</f>
        <v>0</v>
      </c>
      <c r="R245" s="27" t="n">
        <f aca="false">IF(Q245&lt;=0,0,MIN(Q245,N('Min gæld'!$E$8)+P245))</f>
        <v>0</v>
      </c>
      <c r="S245" s="27" t="n">
        <f aca="false">IF(Q245-R245&lt;0.005,0,Q245-R245)</f>
        <v>0</v>
      </c>
      <c r="T245" s="27" t="n">
        <f aca="false">MAX(0,IF(N(S244)&lt;=0.005,P245,P245+N('Min gæld'!$E$8)-R245))</f>
        <v>4800</v>
      </c>
      <c r="U245" s="27" t="n">
        <f aca="false">IF(N(W244)&lt;=0.005,0,N(W244)*(1+N('Min gæld'!$D$9)/12))</f>
        <v>0</v>
      </c>
      <c r="V245" s="27" t="n">
        <f aca="false">IF(U245&lt;=0,0,MIN(U245,N('Min gæld'!$E$9)+T245))</f>
        <v>0</v>
      </c>
      <c r="W245" s="27" t="n">
        <f aca="false">IF(U245-V245&lt;0.005,0,U245-V245)</f>
        <v>0</v>
      </c>
      <c r="X245" s="27" t="n">
        <f aca="false">MAX(0,IF(N(W244)&lt;=0.005,T245,T245+N('Min gæld'!$E$9)-V245))</f>
        <v>4800</v>
      </c>
      <c r="Y245" s="27" t="n">
        <f aca="false">IF(N(AA244)&lt;=0.005,0,N(AA244)*(1+N('Min gæld'!$D$10)/12))</f>
        <v>0</v>
      </c>
      <c r="Z245" s="27" t="n">
        <f aca="false">IF(Y245&lt;=0,0,MIN(Y245,N('Min gæld'!$E$10)+X245))</f>
        <v>0</v>
      </c>
      <c r="AA245" s="27" t="n">
        <f aca="false">IF(Y245-Z245&lt;0.005,0,Y245-Z245)</f>
        <v>0</v>
      </c>
      <c r="AB245" s="27" t="n">
        <f aca="false">MAX(0,IF(N(AA244)&lt;=0.005,X245,X245+N('Min gæld'!$E$10)-Z245))</f>
        <v>4800</v>
      </c>
      <c r="AC245" s="27" t="n">
        <f aca="false">IF(N(AE244)&lt;=0.005,0,N(AE244)*(1+N('Min gæld'!$D$11)/12))</f>
        <v>0</v>
      </c>
      <c r="AD245" s="27" t="n">
        <f aca="false">IF(AC245&lt;=0,0,MIN(AC245,N('Min gæld'!$E$11)+AB245))</f>
        <v>0</v>
      </c>
      <c r="AE245" s="27" t="n">
        <f aca="false">IF(AC245-AD245&lt;0.005,0,AC245-AD245)</f>
        <v>0</v>
      </c>
      <c r="AF245" s="27" t="n">
        <f aca="false">MAX(0,IF(N(AE244)&lt;=0.005,AB245,AB245+N('Min gæld'!$E$11)-AD245))</f>
        <v>4800</v>
      </c>
      <c r="AG245" s="27" t="n">
        <f aca="false">IF(N(AI244)&lt;=0.005,0,N(AI244)*(1+N('Min gæld'!$D$12)/12))</f>
        <v>0</v>
      </c>
      <c r="AH245" s="27" t="n">
        <f aca="false">IF(AG245&lt;=0,0,MIN(AG245,N('Min gæld'!$E$12)+AF245))</f>
        <v>0</v>
      </c>
      <c r="AI245" s="27" t="n">
        <f aca="false">IF(AG245-AH245&lt;0.005,0,AG245-AH245)</f>
        <v>0</v>
      </c>
      <c r="AJ245" s="27" t="n">
        <f aca="false">G245+K245+O245+S245+W245+AA245+AE245+AI245</f>
        <v>0</v>
      </c>
      <c r="AK245" s="28" t="n">
        <f aca="false">IF(E245&gt;0,E245-N(G244),0)+IF(I245&gt;0,I245-N(K244),0)+IF(M245&gt;0,M245-N(O244),0)+IF(Q245&gt;0,Q245-N(S244),0)+IF(U245&gt;0,U245-N(W244),0)+IF(Y245&gt;0,Y245-N(AA244),0)+IF(AC245&gt;0,AC245-N(AE244),0)+IF(AG245&gt;0,AG245-N(AI244),0)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2026-10-17T15:50:25Z</dcterms:created>
  <dc:creator>openpyxl</dc:creator>
  <dc:description/>
  <dc:language>en-US</dc:language>
  <cp:lastModifiedBy/>
  <dcterms:modified xsi:type="dcterms:W3CDTF">2026-10-17T17:50:33Z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